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deiragov.sharepoint.com/sites/DAT/Documentos Partilhados/Rácios PND/Rácios (Novo Despacho)/Cálculo rácios 2023/"/>
    </mc:Choice>
  </mc:AlternateContent>
  <xr:revisionPtr revIDLastSave="13" documentId="8_{0BAA97F0-2D98-49D8-85B4-6A0F1D7FDF78}" xr6:coauthVersionLast="47" xr6:coauthVersionMax="47" xr10:uidLastSave="{5146E170-1106-4ADD-ADF2-3420DEE2FC15}"/>
  <bookViews>
    <workbookView xWindow="-120" yWindow="-120" windowWidth="29040" windowHeight="15720" tabRatio="582" xr2:uid="{4F734BE9-A9C9-42AC-B2C5-E4DCD06C38DF}"/>
  </bookViews>
  <sheets>
    <sheet name="Folha de cálculo de rácios" sheetId="1" r:id="rId1"/>
    <sheet name="EB1PECSantana" sheetId="101" state="hidden" r:id="rId2"/>
    <sheet name="EB1PECFaialSRoque" sheetId="102" state="hidden" r:id="rId3"/>
    <sheet name="EB1PECSJorge" sheetId="103" state="hidden" r:id="rId4"/>
    <sheet name="EB1PECSVicente" sheetId="104" state="hidden" r:id="rId5"/>
  </sheets>
  <definedNames>
    <definedName name="_xlnm.Print_Area" localSheetId="2">EB1PECFaialSRoque!$B$2:$E$26</definedName>
    <definedName name="_xlnm.Print_Area" localSheetId="1">EB1PECSantana!$B$2:$E$26</definedName>
    <definedName name="_xlnm.Print_Area" localSheetId="3">EB1PECSJorge!$B$2:$E$26</definedName>
    <definedName name="_xlnm.Print_Area" localSheetId="4">EB1PECSVicente!$B$2:$E$26</definedName>
    <definedName name="_xlnm.Print_Area" localSheetId="0">'Folha de cálculo de rácios'!$B$2:$E$26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G17" i="1"/>
  <c r="G20" i="1"/>
  <c r="G10" i="1"/>
  <c r="G25" i="1"/>
  <c r="G14" i="1" l="1"/>
  <c r="G12" i="1"/>
  <c r="G11" i="1"/>
  <c r="G23" i="1"/>
  <c r="G22" i="1"/>
  <c r="G21" i="1"/>
  <c r="G19" i="1"/>
  <c r="G16" i="1" l="1"/>
  <c r="G4" i="1"/>
  <c r="G6" i="1"/>
  <c r="G13" i="1"/>
  <c r="G8" i="1" s="1"/>
  <c r="G17" i="102"/>
  <c r="G21" i="101"/>
  <c r="K28" i="104" l="1"/>
  <c r="I28" i="104"/>
  <c r="G26" i="104"/>
  <c r="J26" i="104" s="1"/>
  <c r="L26" i="104" s="1"/>
  <c r="G24" i="104"/>
  <c r="G23" i="104"/>
  <c r="G22" i="104"/>
  <c r="G21" i="104"/>
  <c r="G19" i="104" s="1"/>
  <c r="J19" i="104" s="1"/>
  <c r="L19" i="104" s="1"/>
  <c r="G20" i="104"/>
  <c r="G17" i="104"/>
  <c r="G16" i="104"/>
  <c r="G15" i="104"/>
  <c r="G14" i="104"/>
  <c r="G13" i="104"/>
  <c r="G12" i="104"/>
  <c r="G11" i="104"/>
  <c r="G10" i="104"/>
  <c r="D9" i="104"/>
  <c r="G6" i="104" s="1"/>
  <c r="J6" i="104" s="1"/>
  <c r="L6" i="104" s="1"/>
  <c r="G4" i="104"/>
  <c r="K28" i="103"/>
  <c r="I28" i="103"/>
  <c r="G26" i="103"/>
  <c r="J26" i="103" s="1"/>
  <c r="L26" i="103" s="1"/>
  <c r="G24" i="103"/>
  <c r="G23" i="103"/>
  <c r="G22" i="103"/>
  <c r="G21" i="103"/>
  <c r="G20" i="103"/>
  <c r="G16" i="103"/>
  <c r="G15" i="103"/>
  <c r="G14" i="103"/>
  <c r="G13" i="103"/>
  <c r="G12" i="103"/>
  <c r="G11" i="103"/>
  <c r="D9" i="103"/>
  <c r="G17" i="103" s="1"/>
  <c r="G6" i="103"/>
  <c r="J6" i="103" s="1"/>
  <c r="L6" i="103" s="1"/>
  <c r="G4" i="103"/>
  <c r="K28" i="102"/>
  <c r="I28" i="102"/>
  <c r="G26" i="102"/>
  <c r="J26" i="102" s="1"/>
  <c r="L26" i="102" s="1"/>
  <c r="G24" i="102"/>
  <c r="G23" i="102"/>
  <c r="G22" i="102"/>
  <c r="G21" i="102"/>
  <c r="G19" i="102" s="1"/>
  <c r="J19" i="102" s="1"/>
  <c r="L19" i="102" s="1"/>
  <c r="G20" i="102"/>
  <c r="G16" i="102"/>
  <c r="G15" i="102"/>
  <c r="G14" i="102"/>
  <c r="G13" i="102"/>
  <c r="G12" i="102"/>
  <c r="G11" i="102"/>
  <c r="D9" i="102"/>
  <c r="G4" i="102"/>
  <c r="K28" i="101"/>
  <c r="I28" i="101"/>
  <c r="G26" i="101"/>
  <c r="J26" i="101" s="1"/>
  <c r="L26" i="101" s="1"/>
  <c r="G24" i="101"/>
  <c r="G23" i="101"/>
  <c r="G22" i="101"/>
  <c r="G19" i="101"/>
  <c r="J19" i="101" s="1"/>
  <c r="L19" i="101" s="1"/>
  <c r="G20" i="101"/>
  <c r="G16" i="101"/>
  <c r="G15" i="101"/>
  <c r="G14" i="101"/>
  <c r="G13" i="101"/>
  <c r="G12" i="101"/>
  <c r="G11" i="101"/>
  <c r="D9" i="101"/>
  <c r="G17" i="101" s="1"/>
  <c r="G4" i="101"/>
  <c r="G8" i="104" l="1"/>
  <c r="J8" i="104" s="1"/>
  <c r="L8" i="104" s="1"/>
  <c r="J4" i="104"/>
  <c r="L4" i="104" s="1"/>
  <c r="G10" i="103"/>
  <c r="G8" i="103" s="1"/>
  <c r="J8" i="103" s="1"/>
  <c r="L8" i="103" s="1"/>
  <c r="G19" i="103"/>
  <c r="J19" i="103" s="1"/>
  <c r="L19" i="103" s="1"/>
  <c r="J4" i="103"/>
  <c r="L4" i="103" s="1"/>
  <c r="G10" i="102"/>
  <c r="G8" i="102"/>
  <c r="J8" i="102" s="1"/>
  <c r="L8" i="102" s="1"/>
  <c r="J4" i="102"/>
  <c r="L4" i="102" s="1"/>
  <c r="G6" i="102"/>
  <c r="J6" i="102" s="1"/>
  <c r="L6" i="102" s="1"/>
  <c r="G6" i="101"/>
  <c r="J6" i="101" s="1"/>
  <c r="L6" i="101" s="1"/>
  <c r="G10" i="101"/>
  <c r="G8" i="101"/>
  <c r="J8" i="101" s="1"/>
  <c r="L8" i="101" s="1"/>
  <c r="J4" i="101"/>
  <c r="L4" i="101" s="1"/>
  <c r="G28" i="104" l="1"/>
  <c r="J28" i="104" s="1"/>
  <c r="L28" i="104" s="1"/>
  <c r="G28" i="103"/>
  <c r="J28" i="103" s="1"/>
  <c r="L28" i="103" s="1"/>
  <c r="G28" i="102"/>
  <c r="J28" i="102" s="1"/>
  <c r="L28" i="102" s="1"/>
  <c r="G28" i="101"/>
  <c r="J28" i="101" s="1"/>
  <c r="L28" i="101" s="1"/>
  <c r="K27" i="1" l="1"/>
  <c r="I27" i="1"/>
  <c r="J25" i="1"/>
  <c r="L25" i="1" s="1"/>
  <c r="J4" i="1" l="1"/>
  <c r="L4" i="1" s="1"/>
  <c r="J6" i="1" l="1"/>
  <c r="L6" i="1" s="1"/>
  <c r="J8" i="1" l="1"/>
  <c r="L8" i="1" s="1"/>
  <c r="G27" i="1"/>
  <c r="J27" i="1" l="1"/>
  <c r="L27" i="1" s="1"/>
  <c r="J16" i="1"/>
  <c r="L16" i="1" s="1"/>
</calcChain>
</file>

<file path=xl/sharedStrings.xml><?xml version="1.0" encoding="utf-8"?>
<sst xmlns="http://schemas.openxmlformats.org/spreadsheetml/2006/main" count="304" uniqueCount="72">
  <si>
    <t>Nome do estabelecimento:</t>
  </si>
  <si>
    <t>Áreas de atividade</t>
  </si>
  <si>
    <t>Rácio</t>
  </si>
  <si>
    <t>Providos</t>
  </si>
  <si>
    <t>Temp*</t>
  </si>
  <si>
    <t>Carreiras</t>
  </si>
  <si>
    <t>Animação sociocultural:</t>
  </si>
  <si>
    <t>Técnicos superiores</t>
  </si>
  <si>
    <t>Apoio administrativo:</t>
  </si>
  <si>
    <t>Assistentes técnicos</t>
  </si>
  <si>
    <t>Apoio geral:</t>
  </si>
  <si>
    <t>Assistentes operacionais</t>
  </si>
  <si>
    <t>Apoio_Geral</t>
  </si>
  <si>
    <t>Esp. RAM</t>
  </si>
  <si>
    <t>Rácio_aluno</t>
  </si>
  <si>
    <t>Tipologia</t>
  </si>
  <si>
    <t>UEE</t>
  </si>
  <si>
    <t>UAE</t>
  </si>
  <si>
    <t>Inc_Per_Par</t>
  </si>
  <si>
    <t>Idade_60_AG</t>
  </si>
  <si>
    <t>Esc_Ref_Ens_Ling_Gest_Visão</t>
  </si>
  <si>
    <t>ASE</t>
  </si>
  <si>
    <t>Apoio educativo:</t>
  </si>
  <si>
    <t>Técnicos de Apoio Infância</t>
  </si>
  <si>
    <t>Salas_Creche</t>
  </si>
  <si>
    <t>Salas_Pre</t>
  </si>
  <si>
    <t>Edu_Inf</t>
  </si>
  <si>
    <t>Idade_60_AE</t>
  </si>
  <si>
    <t>Apoio ao refeitório</t>
  </si>
  <si>
    <t>Assistentes operacionais (incluíndo Encarregados)</t>
  </si>
  <si>
    <t>Rácio global:</t>
  </si>
  <si>
    <t>Escolas básicas do 1.º ciclo com pré-escolar e/ou Creche - DADOS</t>
  </si>
  <si>
    <t>Dados necessários ao cálculo</t>
  </si>
  <si>
    <t>N.º de alunos:</t>
  </si>
  <si>
    <r>
      <t xml:space="preserve">N.º de alunos ou crianças com </t>
    </r>
    <r>
      <rPr>
        <b/>
        <i/>
        <sz val="11"/>
        <color theme="1"/>
        <rFont val="Calibri"/>
        <family val="2"/>
        <scheme val="minor"/>
      </rPr>
      <t>mobilidade</t>
    </r>
    <r>
      <rPr>
        <i/>
        <sz val="11"/>
        <color theme="1"/>
        <rFont val="Calibri"/>
        <family val="2"/>
        <scheme val="minor"/>
      </rPr>
      <t xml:space="preserve"> reduzida e com limitações acentuadas ao nível da </t>
    </r>
    <r>
      <rPr>
        <b/>
        <i/>
        <sz val="11"/>
        <color theme="1"/>
        <rFont val="Calibri"/>
        <family val="2"/>
        <scheme val="minor"/>
      </rPr>
      <t>autonomia</t>
    </r>
    <r>
      <rPr>
        <i/>
        <sz val="11"/>
        <color theme="1"/>
        <rFont val="Calibri"/>
        <family val="2"/>
        <scheme val="minor"/>
      </rPr>
      <t xml:space="preserve"> pessoal:</t>
    </r>
  </si>
  <si>
    <t>N.º de turmas:</t>
  </si>
  <si>
    <t>N.º de edifícios:</t>
  </si>
  <si>
    <t>N.º de refeições:</t>
  </si>
  <si>
    <t>N.º de salas UEE:</t>
  </si>
  <si>
    <t>N.º de salas UAE:</t>
  </si>
  <si>
    <t>Escola de referência para a educação bilingue de alunos surdos ou invisuais?</t>
  </si>
  <si>
    <t>NÃO</t>
  </si>
  <si>
    <t>N.º de alunos ou crianças com ação social escolar:</t>
  </si>
  <si>
    <t>Integra valência infância?</t>
  </si>
  <si>
    <t>SIM</t>
  </si>
  <si>
    <t>N.º de crianças na valência creche:</t>
  </si>
  <si>
    <t>N.º de salas da valência creche:</t>
  </si>
  <si>
    <t>N.º de salas da valência educação pré-escolar:</t>
  </si>
  <si>
    <t>N.º de salas da valência educação pré-escolar com apenas 1 educadora de infância colocada:</t>
  </si>
  <si>
    <r>
      <t xml:space="preserve">N.º de trabalhadores de </t>
    </r>
    <r>
      <rPr>
        <i/>
        <u/>
        <sz val="11"/>
        <color theme="1"/>
        <rFont val="Calibri"/>
        <family val="2"/>
        <scheme val="minor"/>
      </rPr>
      <t>apoio geral</t>
    </r>
    <r>
      <rPr>
        <i/>
        <sz val="11"/>
        <color theme="1"/>
        <rFont val="Calibri"/>
        <family val="2"/>
        <scheme val="minor"/>
      </rPr>
      <t xml:space="preserve"> com grau de incapacidade igual ou superior a 60%, c/ idade inferior a 60 anos:</t>
    </r>
  </si>
  <si>
    <r>
      <t xml:space="preserve">N.º de trabalhadores da </t>
    </r>
    <r>
      <rPr>
        <i/>
        <u/>
        <sz val="11"/>
        <color theme="1"/>
        <rFont val="Calibri"/>
        <family val="2"/>
        <scheme val="minor"/>
      </rPr>
      <t>carreira de técnico de apoio à infância</t>
    </r>
    <r>
      <rPr>
        <i/>
        <sz val="11"/>
        <color theme="1"/>
        <rFont val="Calibri"/>
        <family val="2"/>
        <scheme val="minor"/>
      </rPr>
      <t xml:space="preserve"> com grau de incapacidade igual ou superior a 60%, c/ idade inferior a 60 anos:</t>
    </r>
  </si>
  <si>
    <r>
      <t xml:space="preserve">N.º de trabalhadores de </t>
    </r>
    <r>
      <rPr>
        <i/>
        <u/>
        <sz val="11"/>
        <color theme="1"/>
        <rFont val="Calibri"/>
        <family val="2"/>
        <scheme val="minor"/>
      </rPr>
      <t>apoio geral</t>
    </r>
    <r>
      <rPr>
        <i/>
        <sz val="11"/>
        <color theme="1"/>
        <rFont val="Calibri"/>
        <family val="2"/>
        <scheme val="minor"/>
      </rPr>
      <t xml:space="preserve"> com idade superior a 60 anos:</t>
    </r>
  </si>
  <si>
    <r>
      <t xml:space="preserve">N.º de trabalhadores da </t>
    </r>
    <r>
      <rPr>
        <i/>
        <u/>
        <sz val="11"/>
        <color theme="1"/>
        <rFont val="Calibri"/>
        <family val="2"/>
        <scheme val="minor"/>
      </rPr>
      <t>carreira de técnico de apoio à infância</t>
    </r>
    <r>
      <rPr>
        <i/>
        <sz val="11"/>
        <color theme="1"/>
        <rFont val="Calibri"/>
        <family val="2"/>
        <scheme val="minor"/>
      </rPr>
      <t xml:space="preserve"> com idade superior a 60 anos:</t>
    </r>
  </si>
  <si>
    <t>Observações</t>
  </si>
  <si>
    <t>Escola Básica do 1.º Ciclo com Pré-escolar e Creche de Santana</t>
  </si>
  <si>
    <t>Escola Básica do 1.º Ciclo com Pré-escolar e Creche do Faial e São Roque do Faial</t>
  </si>
  <si>
    <t>Escola Básica do 1.º Ciclo com Pré-escolar e Creche de São Jorge</t>
  </si>
  <si>
    <t>Escola Básica do 1.º Ciclo com Pré-escolar e Creche de São Vicente</t>
  </si>
  <si>
    <t>N.º de crianças na valência creche - Berçario</t>
  </si>
  <si>
    <t>N.º de salas da valência creche - Berçario</t>
  </si>
  <si>
    <t>N.º de crianças na valência creche - Transição</t>
  </si>
  <si>
    <t>N.º de salas da valência creche - Transição</t>
  </si>
  <si>
    <t>N.º de salas da valência educação pré-escolar</t>
  </si>
  <si>
    <t>Animação sociocultural de bibliotecas escolares:</t>
  </si>
  <si>
    <t>Salas_Creche_Berçário</t>
  </si>
  <si>
    <t>Trabalhador_Extra_PorCrianças_Creche_Berçário</t>
  </si>
  <si>
    <t>Salas_Creche_Tran</t>
  </si>
  <si>
    <t>Salas_Creche_Transição_Extra</t>
  </si>
  <si>
    <t>Tabalhadores_Incapacidade_Permanente_Parcial</t>
  </si>
  <si>
    <t>Trabalhadores_Idade_60+</t>
  </si>
  <si>
    <t>Alunos_ASE</t>
  </si>
  <si>
    <t>N.º médio de refeições por dia: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</si>
</sst>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0;\-0;0\."/>
  </numFmts>
  <fonts count="11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  <font>
      <b/>
      <i/>
      <sz val="9"/>
      <color theme="0" tint="-0.499984740745262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right"/>
    </xf>
    <xf numFmtId="0" fontId="1" fillId="0" borderId="1" xfId="0" applyFont="1" applyBorder="1" applyProtection="1">
      <protection locked="0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left" indent="1"/>
    </xf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/>
    <xf numFmtId="164" fontId="1" fillId="0" borderId="0" xfId="0" applyNumberFormat="1" applyFont="1" applyAlignment="1">
      <alignment horizontal="center"/>
    </xf>
    <xf numFmtId="0" fontId="7" fillId="0" borderId="0" xfId="0" applyFont="1" applyAlignment="1">
      <alignment horizontal="right"/>
    </xf>
    <xf numFmtId="0" fontId="5" fillId="0" borderId="0" xfId="0" applyFont="1"/>
    <xf numFmtId="0" fontId="4" fillId="0" borderId="0" xfId="0" applyFont="1" applyAlignment="1">
      <alignment horizontal="left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 applyProtection="1">
      <alignment horizontal="left" vertical="center" indent="1"/>
      <protection locked="0"/>
    </xf>
    <xf numFmtId="1" fontId="1" fillId="0" borderId="1" xfId="0" applyNumberFormat="1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5" xfId="0" applyFont="1" applyBorder="1" applyAlignment="1">
      <alignment horizontal="left" vertical="top" indent="1"/>
    </xf>
    <xf numFmtId="0" fontId="1" fillId="0" borderId="3" xfId="0" applyFont="1" applyBorder="1" applyAlignment="1" applyProtection="1">
      <alignment horizontal="left" vertical="top" indent="1"/>
      <protection locked="0"/>
    </xf>
    <xf numFmtId="0" fontId="1" fillId="0" borderId="2" xfId="0" applyFont="1" applyBorder="1" applyAlignment="1" applyProtection="1">
      <alignment horizontal="left" vertical="top" inden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E53A1-2FE4-4984-8AE2-4E921191CD56}">
  <sheetPr>
    <tabColor theme="0"/>
  </sheetPr>
  <dimension ref="A2:S33"/>
  <sheetViews>
    <sheetView showGridLines="0" showRowColHeaders="0" tabSelected="1" zoomScaleNormal="100" workbookViewId="0">
      <selection activeCell="C17" sqref="C17"/>
    </sheetView>
  </sheetViews>
  <sheetFormatPr defaultColWidth="8.85546875" defaultRowHeight="15" x14ac:dyDescent="0.25"/>
  <cols>
    <col min="2" max="2" width="134.42578125" customWidth="1"/>
    <col min="3" max="3" width="10.42578125" style="7" bestFit="1" customWidth="1"/>
    <col min="4" max="4" width="8.7109375" customWidth="1"/>
    <col min="5" max="5" width="6.140625" customWidth="1"/>
    <col min="6" max="6" width="45.5703125" bestFit="1" customWidth="1"/>
    <col min="7" max="7" width="8.85546875" style="7"/>
    <col min="8" max="8" width="10" style="7" customWidth="1"/>
    <col min="9" max="19" width="8.85546875" style="7"/>
  </cols>
  <sheetData>
    <row r="2" spans="2:19" ht="26.25" x14ac:dyDescent="0.25">
      <c r="B2" s="28" t="s">
        <v>31</v>
      </c>
      <c r="F2" s="12" t="s">
        <v>1</v>
      </c>
      <c r="G2" s="34" t="s">
        <v>2</v>
      </c>
      <c r="H2" s="37"/>
      <c r="I2" s="34" t="s">
        <v>3</v>
      </c>
      <c r="J2" s="34"/>
      <c r="K2" s="34" t="s">
        <v>4</v>
      </c>
      <c r="L2" s="34"/>
      <c r="M2" s="34" t="s">
        <v>5</v>
      </c>
    </row>
    <row r="3" spans="2:19" ht="19.5" customHeight="1" x14ac:dyDescent="0.25">
      <c r="F3" s="3"/>
      <c r="G3" s="8"/>
      <c r="H3" s="38"/>
      <c r="I3" s="8"/>
      <c r="J3" s="8"/>
      <c r="K3" s="8"/>
      <c r="L3" s="8"/>
      <c r="M3" s="8"/>
    </row>
    <row r="4" spans="2:19" ht="19.5" customHeight="1" x14ac:dyDescent="0.25">
      <c r="B4" s="12" t="s">
        <v>0</v>
      </c>
      <c r="F4" s="15" t="s">
        <v>63</v>
      </c>
      <c r="G4" s="39">
        <f>1</f>
        <v>1</v>
      </c>
      <c r="H4" s="38"/>
      <c r="I4" s="9"/>
      <c r="J4" s="35">
        <f>I4-G4</f>
        <v>-1</v>
      </c>
      <c r="K4" s="9"/>
      <c r="L4" s="35">
        <f>K4+J4</f>
        <v>-1</v>
      </c>
      <c r="M4" s="36" t="s">
        <v>7</v>
      </c>
    </row>
    <row r="5" spans="2:19" ht="19.5" customHeight="1" x14ac:dyDescent="0.25">
      <c r="B5" s="30"/>
      <c r="C5" s="8"/>
      <c r="F5" s="15"/>
      <c r="G5" s="8"/>
      <c r="H5" s="38"/>
      <c r="I5" s="8"/>
      <c r="J5" s="35"/>
      <c r="K5" s="8"/>
      <c r="L5" s="35"/>
      <c r="M5" s="8"/>
    </row>
    <row r="6" spans="2:19" ht="19.5" customHeight="1" x14ac:dyDescent="0.25">
      <c r="B6" s="2"/>
      <c r="F6" s="15" t="s">
        <v>8</v>
      </c>
      <c r="G6" s="39">
        <f>1+IF(C8&gt;300,1,0)+IF(C10&gt;1,1,0)</f>
        <v>1</v>
      </c>
      <c r="H6" s="38"/>
      <c r="I6" s="9"/>
      <c r="J6" s="35">
        <f>I6-G6</f>
        <v>-1</v>
      </c>
      <c r="K6" s="9"/>
      <c r="L6" s="35">
        <f>K6+J6</f>
        <v>-1</v>
      </c>
      <c r="M6" s="36" t="s">
        <v>9</v>
      </c>
    </row>
    <row r="7" spans="2:19" s="3" customFormat="1" ht="19.5" customHeight="1" x14ac:dyDescent="0.25">
      <c r="B7" s="12" t="s">
        <v>32</v>
      </c>
      <c r="C7" s="8"/>
      <c r="F7" s="15"/>
      <c r="G7" s="8"/>
      <c r="H7" s="38"/>
      <c r="I7" s="8"/>
      <c r="J7" s="35"/>
      <c r="K7" s="8"/>
      <c r="L7" s="35"/>
      <c r="M7" s="8"/>
      <c r="N7" s="8"/>
      <c r="O7" s="8"/>
      <c r="P7" s="8"/>
      <c r="Q7" s="8"/>
      <c r="R7" s="8"/>
      <c r="S7" s="8"/>
    </row>
    <row r="8" spans="2:19" s="3" customFormat="1" ht="19.5" customHeight="1" x14ac:dyDescent="0.25">
      <c r="B8" s="29" t="s">
        <v>33</v>
      </c>
      <c r="C8" s="9"/>
      <c r="D8" s="4"/>
      <c r="E8" s="4"/>
      <c r="F8" s="15" t="s">
        <v>10</v>
      </c>
      <c r="G8" s="39">
        <f>CEILING(G9+G10+G11+G12+G13+G14,1)</f>
        <v>2</v>
      </c>
      <c r="H8" s="38"/>
      <c r="I8" s="9"/>
      <c r="J8" s="35">
        <f>I8-G8</f>
        <v>-2</v>
      </c>
      <c r="K8" s="9"/>
      <c r="L8" s="35">
        <f>K8+J8</f>
        <v>-2</v>
      </c>
      <c r="M8" s="36" t="s">
        <v>11</v>
      </c>
      <c r="N8" s="8"/>
      <c r="O8" s="8"/>
      <c r="P8" s="8"/>
      <c r="Q8" s="8"/>
      <c r="R8" s="8"/>
      <c r="S8" s="8"/>
    </row>
    <row r="9" spans="2:19" s="3" customFormat="1" ht="19.5" customHeight="1" x14ac:dyDescent="0.25">
      <c r="B9" s="29" t="s">
        <v>35</v>
      </c>
      <c r="C9" s="31"/>
      <c r="D9" s="4"/>
      <c r="F9" s="21" t="s">
        <v>12</v>
      </c>
      <c r="G9" s="33">
        <v>2</v>
      </c>
      <c r="H9" s="38"/>
      <c r="I9" s="8"/>
      <c r="J9" s="35"/>
      <c r="K9" s="8"/>
      <c r="L9" s="35"/>
      <c r="M9" s="8"/>
      <c r="N9" s="8"/>
      <c r="O9" s="8"/>
      <c r="P9" s="8"/>
      <c r="Q9" s="8"/>
      <c r="R9" s="8"/>
      <c r="S9" s="8"/>
    </row>
    <row r="10" spans="2:19" s="4" customFormat="1" ht="19.5" customHeight="1" x14ac:dyDescent="0.25">
      <c r="B10" s="29" t="s">
        <v>36</v>
      </c>
      <c r="C10" s="9"/>
      <c r="F10" s="21" t="s">
        <v>14</v>
      </c>
      <c r="G10" s="33">
        <f>(C8-30)/44</f>
        <v>-0.68181818181818177</v>
      </c>
      <c r="H10" s="38"/>
      <c r="I10" s="8"/>
      <c r="J10" s="35"/>
      <c r="K10" s="8"/>
      <c r="L10" s="35"/>
      <c r="M10" s="8"/>
      <c r="N10" s="8"/>
      <c r="O10" s="8"/>
      <c r="P10" s="8"/>
      <c r="Q10" s="8"/>
      <c r="R10" s="8"/>
      <c r="S10" s="8"/>
    </row>
    <row r="11" spans="2:19" s="4" customFormat="1" ht="19.5" customHeight="1" x14ac:dyDescent="0.25">
      <c r="B11" s="29" t="s">
        <v>71</v>
      </c>
      <c r="C11" s="9"/>
      <c r="F11" s="21" t="s">
        <v>15</v>
      </c>
      <c r="G11" s="33">
        <f>IF(C10&gt;1,(G9+G10)*0.25,0)</f>
        <v>0</v>
      </c>
      <c r="H11" s="38"/>
      <c r="I11" s="8"/>
      <c r="J11" s="35"/>
      <c r="K11" s="8"/>
      <c r="L11" s="35"/>
      <c r="M11" s="8"/>
      <c r="N11" s="8"/>
      <c r="O11" s="8"/>
      <c r="P11" s="8"/>
      <c r="Q11" s="8"/>
      <c r="R11" s="8"/>
      <c r="S11" s="8"/>
    </row>
    <row r="12" spans="2:19" s="3" customFormat="1" ht="19.5" customHeight="1" x14ac:dyDescent="0.25">
      <c r="B12" s="32" t="s">
        <v>42</v>
      </c>
      <c r="C12" s="9"/>
      <c r="D12" s="8"/>
      <c r="F12" s="21" t="s">
        <v>68</v>
      </c>
      <c r="G12" s="33">
        <f>C19/3</f>
        <v>0</v>
      </c>
      <c r="H12" s="38"/>
      <c r="I12" s="7"/>
      <c r="J12" s="35"/>
      <c r="K12" s="8"/>
      <c r="L12" s="35"/>
      <c r="M12" s="8"/>
      <c r="N12" s="8"/>
      <c r="O12" s="8"/>
      <c r="P12" s="8"/>
      <c r="Q12" s="8"/>
      <c r="R12" s="8"/>
      <c r="S12" s="8"/>
    </row>
    <row r="13" spans="2:19" s="3" customFormat="1" ht="19.5" customHeight="1" x14ac:dyDescent="0.25">
      <c r="B13" s="15" t="s">
        <v>43</v>
      </c>
      <c r="C13" s="9"/>
      <c r="D13" s="8"/>
      <c r="F13" s="21" t="s">
        <v>69</v>
      </c>
      <c r="G13" s="33">
        <f>C21/3</f>
        <v>0</v>
      </c>
      <c r="H13" s="38"/>
      <c r="I13" s="7"/>
      <c r="J13" s="35"/>
      <c r="K13" s="8"/>
      <c r="L13" s="35"/>
      <c r="M13" s="8"/>
      <c r="N13" s="8"/>
      <c r="O13" s="8"/>
      <c r="P13" s="8"/>
      <c r="Q13" s="8"/>
      <c r="R13" s="8"/>
      <c r="S13" s="8"/>
    </row>
    <row r="14" spans="2:19" s="3" customFormat="1" ht="19.5" customHeight="1" x14ac:dyDescent="0.25">
      <c r="B14" s="29" t="s">
        <v>58</v>
      </c>
      <c r="C14" s="9"/>
      <c r="D14" s="4"/>
      <c r="E14" s="5"/>
      <c r="F14" s="21" t="s">
        <v>70</v>
      </c>
      <c r="G14" s="33">
        <f>IF(C12="",0,IF(AND(C12/C8&gt;=0.6,C12/C8&lt;0.75),1,IF(C12/C8&gt;=0.75,2,0)))</f>
        <v>0</v>
      </c>
      <c r="H14" s="38"/>
      <c r="I14" s="8"/>
      <c r="J14" s="35"/>
      <c r="K14" s="8"/>
      <c r="L14" s="35"/>
      <c r="M14" s="8"/>
      <c r="N14" s="8"/>
      <c r="O14" s="8"/>
      <c r="P14" s="8"/>
      <c r="Q14" s="8"/>
      <c r="R14" s="8"/>
      <c r="S14" s="8"/>
    </row>
    <row r="15" spans="2:19" s="3" customFormat="1" ht="19.5" customHeight="1" x14ac:dyDescent="0.25">
      <c r="B15" s="29" t="s">
        <v>59</v>
      </c>
      <c r="C15" s="9"/>
      <c r="D15" s="4"/>
      <c r="E15" s="5"/>
      <c r="F15" s="5"/>
      <c r="G15" s="8"/>
      <c r="H15" s="38"/>
      <c r="I15" s="8"/>
      <c r="J15" s="35"/>
      <c r="K15" s="8"/>
      <c r="L15" s="35"/>
      <c r="M15" s="8"/>
      <c r="N15" s="8"/>
      <c r="O15" s="8"/>
      <c r="P15" s="8"/>
      <c r="Q15" s="8"/>
      <c r="R15" s="8"/>
      <c r="S15" s="8"/>
    </row>
    <row r="16" spans="2:19" s="4" customFormat="1" ht="19.5" customHeight="1" x14ac:dyDescent="0.25">
      <c r="B16" s="29" t="s">
        <v>60</v>
      </c>
      <c r="C16" s="9"/>
      <c r="F16" s="15" t="s">
        <v>22</v>
      </c>
      <c r="G16" s="39">
        <f>CEILING(G17+G18+G19+G20+G21+G22+G23,1)</f>
        <v>0</v>
      </c>
      <c r="H16" s="38"/>
      <c r="I16" s="9"/>
      <c r="J16" s="35">
        <f>I16-G16</f>
        <v>0</v>
      </c>
      <c r="K16" s="9"/>
      <c r="L16" s="35">
        <f>K16+J16</f>
        <v>0</v>
      </c>
      <c r="M16" s="36" t="s">
        <v>23</v>
      </c>
      <c r="N16" s="8"/>
      <c r="O16" s="8"/>
      <c r="P16" s="8"/>
      <c r="Q16" s="8"/>
      <c r="R16" s="8"/>
      <c r="S16" s="8"/>
    </row>
    <row r="17" spans="1:19" s="4" customFormat="1" ht="19.5" customHeight="1" x14ac:dyDescent="0.25">
      <c r="B17" s="29" t="s">
        <v>61</v>
      </c>
      <c r="C17" s="9"/>
      <c r="F17" s="21" t="s">
        <v>64</v>
      </c>
      <c r="G17" s="33">
        <f>C15*2</f>
        <v>0</v>
      </c>
      <c r="H17" s="38"/>
      <c r="I17" s="7"/>
      <c r="J17" s="35"/>
      <c r="K17" s="8"/>
      <c r="L17" s="35"/>
      <c r="M17" s="8"/>
      <c r="N17" s="8"/>
      <c r="O17" s="8"/>
      <c r="P17" s="8"/>
      <c r="Q17" s="8"/>
      <c r="R17" s="8"/>
      <c r="S17" s="8"/>
    </row>
    <row r="18" spans="1:19" s="4" customFormat="1" ht="19.5" customHeight="1" x14ac:dyDescent="0.25">
      <c r="B18" s="29" t="s">
        <v>62</v>
      </c>
      <c r="C18" s="9"/>
      <c r="F18" s="21" t="s">
        <v>65</v>
      </c>
      <c r="G18" s="33">
        <f>INT(C14/(10*2))</f>
        <v>0</v>
      </c>
      <c r="H18" s="38"/>
      <c r="I18" s="7"/>
      <c r="J18" s="35"/>
      <c r="K18" s="8"/>
      <c r="L18" s="35"/>
      <c r="M18" s="8"/>
      <c r="N18" s="8"/>
      <c r="O18" s="8"/>
      <c r="P18" s="8"/>
      <c r="Q18" s="8"/>
      <c r="R18" s="8"/>
      <c r="S18" s="8"/>
    </row>
    <row r="19" spans="1:19" s="3" customFormat="1" ht="19.5" customHeight="1" x14ac:dyDescent="0.25">
      <c r="A19" s="4"/>
      <c r="B19" s="29" t="s">
        <v>49</v>
      </c>
      <c r="C19" s="9"/>
      <c r="D19" s="4"/>
      <c r="F19" s="21" t="s">
        <v>66</v>
      </c>
      <c r="G19" s="33">
        <f>C17*2</f>
        <v>0</v>
      </c>
      <c r="H19" s="38"/>
      <c r="I19" s="7"/>
      <c r="J19" s="35"/>
      <c r="K19" s="8"/>
      <c r="L19" s="35"/>
      <c r="M19" s="8"/>
      <c r="N19" s="8"/>
      <c r="O19" s="8"/>
      <c r="P19" s="8"/>
      <c r="Q19" s="8"/>
      <c r="R19" s="8"/>
      <c r="S19" s="8"/>
    </row>
    <row r="20" spans="1:19" s="3" customFormat="1" ht="19.5" customHeight="1" x14ac:dyDescent="0.25">
      <c r="B20" s="29" t="s">
        <v>50</v>
      </c>
      <c r="C20" s="9"/>
      <c r="D20" s="4"/>
      <c r="F20" s="21" t="s">
        <v>67</v>
      </c>
      <c r="G20" s="33">
        <f>INT(C16/(13*2))</f>
        <v>0</v>
      </c>
      <c r="H20" s="38"/>
      <c r="I20" s="7"/>
      <c r="J20" s="35"/>
      <c r="K20" s="8"/>
      <c r="L20" s="35"/>
      <c r="M20" s="8"/>
      <c r="N20" s="8"/>
      <c r="O20" s="8"/>
      <c r="P20" s="8"/>
      <c r="Q20" s="8"/>
      <c r="R20" s="8"/>
      <c r="S20" s="8"/>
    </row>
    <row r="21" spans="1:19" s="3" customFormat="1" ht="19.5" customHeight="1" x14ac:dyDescent="0.25">
      <c r="B21" s="29" t="s">
        <v>51</v>
      </c>
      <c r="C21" s="9"/>
      <c r="D21" s="4"/>
      <c r="F21" s="21" t="s">
        <v>25</v>
      </c>
      <c r="G21" s="33">
        <f>2*C18</f>
        <v>0</v>
      </c>
      <c r="H21" s="38"/>
      <c r="I21" s="7"/>
      <c r="J21" s="35"/>
      <c r="K21" s="8"/>
      <c r="L21" s="35"/>
      <c r="M21" s="8"/>
      <c r="N21" s="8"/>
      <c r="O21" s="8"/>
      <c r="P21" s="8"/>
      <c r="Q21" s="8"/>
      <c r="R21" s="8"/>
      <c r="S21" s="8"/>
    </row>
    <row r="22" spans="1:19" s="3" customFormat="1" ht="19.5" customHeight="1" x14ac:dyDescent="0.25">
      <c r="B22" s="29" t="s">
        <v>52</v>
      </c>
      <c r="C22" s="9"/>
      <c r="D22" s="1"/>
      <c r="F22" s="21" t="s">
        <v>68</v>
      </c>
      <c r="G22" s="33">
        <f>C20/3</f>
        <v>0</v>
      </c>
      <c r="H22" s="38"/>
      <c r="I22" s="7"/>
      <c r="J22" s="35"/>
      <c r="K22" s="8"/>
      <c r="L22" s="35"/>
      <c r="M22" s="8"/>
      <c r="N22" s="8"/>
      <c r="O22" s="8"/>
      <c r="P22" s="8"/>
      <c r="Q22" s="8"/>
      <c r="R22" s="8"/>
      <c r="S22" s="8"/>
    </row>
    <row r="23" spans="1:19" s="3" customFormat="1" ht="19.5" customHeight="1" x14ac:dyDescent="0.25">
      <c r="B23" s="29"/>
      <c r="C23" s="7"/>
      <c r="D23"/>
      <c r="F23" s="21" t="s">
        <v>69</v>
      </c>
      <c r="G23" s="33">
        <f>C22/3</f>
        <v>0</v>
      </c>
      <c r="H23" s="38"/>
      <c r="I23" s="7"/>
      <c r="J23" s="35"/>
      <c r="K23" s="8"/>
      <c r="L23" s="35"/>
      <c r="M23" s="8"/>
      <c r="N23" s="8"/>
      <c r="O23" s="8"/>
      <c r="P23" s="8"/>
      <c r="Q23" s="8"/>
      <c r="R23" s="8"/>
      <c r="S23" s="8"/>
    </row>
    <row r="24" spans="1:19" s="3" customFormat="1" ht="19.5" customHeight="1" x14ac:dyDescent="0.25">
      <c r="B24" s="12" t="s">
        <v>53</v>
      </c>
      <c r="C24" s="12"/>
      <c r="D24" s="7"/>
      <c r="F24" s="24"/>
      <c r="G24" s="33"/>
      <c r="H24" s="38"/>
      <c r="I24" s="8"/>
      <c r="J24" s="35"/>
      <c r="K24" s="8"/>
      <c r="L24" s="35"/>
      <c r="M24" s="8"/>
      <c r="N24" s="8"/>
      <c r="O24" s="8"/>
      <c r="P24" s="8"/>
      <c r="Q24" s="8"/>
      <c r="R24" s="8"/>
      <c r="S24" s="8"/>
    </row>
    <row r="25" spans="1:19" s="3" customFormat="1" ht="19.5" customHeight="1" x14ac:dyDescent="0.25">
      <c r="B25" s="41"/>
      <c r="C25" s="41"/>
      <c r="D25" s="42"/>
      <c r="F25" s="15" t="s">
        <v>28</v>
      </c>
      <c r="G25" s="39">
        <f>1+(IF(C11&gt;250,1,0))</f>
        <v>1</v>
      </c>
      <c r="H25" s="38"/>
      <c r="I25" s="9"/>
      <c r="J25" s="35">
        <f>I25-G25</f>
        <v>-1</v>
      </c>
      <c r="K25" s="9"/>
      <c r="L25" s="35">
        <f>K25+J25</f>
        <v>-1</v>
      </c>
      <c r="M25" s="36" t="s">
        <v>29</v>
      </c>
      <c r="N25" s="7"/>
      <c r="O25" s="7"/>
      <c r="P25" s="7"/>
      <c r="Q25" s="7"/>
      <c r="R25" s="8"/>
      <c r="S25" s="8"/>
    </row>
    <row r="26" spans="1:19" ht="19.5" customHeight="1" x14ac:dyDescent="0.25">
      <c r="A26" s="3"/>
      <c r="B26" s="42"/>
      <c r="C26" s="42"/>
      <c r="D26" s="42"/>
      <c r="E26" s="3"/>
      <c r="F26" s="15"/>
      <c r="G26" s="8"/>
      <c r="H26" s="38"/>
      <c r="I26" s="8"/>
      <c r="J26" s="35"/>
      <c r="K26" s="8"/>
      <c r="L26" s="35"/>
      <c r="M26" s="8"/>
      <c r="R26" s="8"/>
      <c r="S26" s="8"/>
    </row>
    <row r="27" spans="1:19" ht="19.5" customHeight="1" x14ac:dyDescent="0.25">
      <c r="B27" s="42"/>
      <c r="C27" s="42"/>
      <c r="D27" s="42"/>
      <c r="F27" s="25" t="s">
        <v>30</v>
      </c>
      <c r="G27" s="40">
        <f>G4+G6+G8+G16+G25</f>
        <v>5</v>
      </c>
      <c r="H27" s="38"/>
      <c r="I27" s="40">
        <f>I4+I6+I8+I16+I25</f>
        <v>0</v>
      </c>
      <c r="J27" s="35">
        <f>I27-G27</f>
        <v>-5</v>
      </c>
      <c r="K27" s="40">
        <f>K4+K6+K8+K16+K25</f>
        <v>0</v>
      </c>
      <c r="L27" s="35">
        <f>K27+J27</f>
        <v>-5</v>
      </c>
      <c r="M27" s="8"/>
      <c r="N27" s="8"/>
      <c r="O27" s="8"/>
      <c r="P27" s="8"/>
      <c r="Q27" s="8"/>
    </row>
    <row r="28" spans="1:19" s="3" customFormat="1" ht="19.5" customHeight="1" x14ac:dyDescent="0.25">
      <c r="A28"/>
      <c r="B28" s="42"/>
      <c r="C28" s="42"/>
      <c r="D28" s="42"/>
      <c r="E28"/>
      <c r="F28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x14ac:dyDescent="0.25">
      <c r="A29" s="3"/>
      <c r="B29" s="42"/>
      <c r="C29" s="42"/>
      <c r="D29" s="42"/>
      <c r="E29" s="3"/>
      <c r="R29" s="8"/>
      <c r="S29" s="8"/>
    </row>
    <row r="30" spans="1:19" x14ac:dyDescent="0.25">
      <c r="B30" s="42"/>
      <c r="C30" s="42"/>
      <c r="D30" s="42"/>
    </row>
    <row r="31" spans="1:19" x14ac:dyDescent="0.25">
      <c r="B31" s="42"/>
      <c r="C31" s="42"/>
      <c r="D31" s="42"/>
    </row>
    <row r="32" spans="1:19" x14ac:dyDescent="0.25">
      <c r="B32" s="42"/>
      <c r="C32" s="42"/>
      <c r="D32" s="42"/>
    </row>
    <row r="33" spans="2:4" x14ac:dyDescent="0.25">
      <c r="B33" s="43"/>
      <c r="C33" s="43"/>
      <c r="D33" s="42"/>
    </row>
  </sheetData>
  <sheetProtection algorithmName="SHA-512" hashValue="XAkH3ctRk488DQNicNveMyN44cyFRqf/JqG5G7L8VbQ8QZ8mpAU4gkljLcSNVW7WOl31eDXQkYpCZxeSZhx9Sw==" saltValue="T3JFWc9jXm4eaQS+hitJqg==" spinCount="100000" sheet="1" objects="1" scenarios="1" selectLockedCells="1"/>
  <mergeCells count="1">
    <mergeCell ref="B25:D33"/>
  </mergeCells>
  <dataValidations count="3">
    <dataValidation type="whole" allowBlank="1" showInputMessage="1" showErrorMessage="1" sqref="C23 D24" xr:uid="{44AD0F92-E52A-471C-8C81-29EFD06DBB9B}">
      <formula1>0</formula1>
      <formula2>#REF!</formula2>
    </dataValidation>
    <dataValidation type="list" allowBlank="1" showInputMessage="1" showErrorMessage="1" sqref="C13" xr:uid="{8CFF6C49-DB07-4220-A0FF-A87EB2523E4F}">
      <formula1>"SIM,NÃO"</formula1>
    </dataValidation>
    <dataValidation allowBlank="1" showInputMessage="1" showErrorMessage="1" sqref="C16" xr:uid="{21AEAD8C-A36A-4916-B663-D9688A0EE50B}"/>
  </dataValidations>
  <pageMargins left="0.70866141732283472" right="0.70866141732283472" top="1.3385826771653544" bottom="0.74803149606299213" header="0.31496062992125984" footer="0.31496062992125984"/>
  <pageSetup paperSize="9" scale="74" orientation="landscape" verticalDpi="0" r:id="rId1"/>
  <headerFooter>
    <oddHeader>&amp;L&amp;G</oddHeader>
  </headerFooter>
  <ignoredErrors>
    <ignoredError sqref="J27 G18" formula="1"/>
  </ignoredError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32025-386B-4D0D-AF52-5A5EF931AC86}">
  <sheetPr>
    <tabColor theme="9"/>
  </sheetPr>
  <dimension ref="A2:M29"/>
  <sheetViews>
    <sheetView showGridLines="0" showRowColHeaders="0" zoomScale="80" zoomScaleNormal="80" workbookViewId="0">
      <selection activeCell="C10" sqref="C10"/>
    </sheetView>
  </sheetViews>
  <sheetFormatPr defaultColWidth="8.85546875" defaultRowHeight="15" x14ac:dyDescent="0.25"/>
  <cols>
    <col min="2" max="2" width="134.42578125" customWidth="1"/>
    <col min="3" max="3" width="10.42578125" style="7" bestFit="1" customWidth="1"/>
    <col min="4" max="4" width="8.7109375" customWidth="1"/>
    <col min="5" max="5" width="6.140625" customWidth="1"/>
    <col min="6" max="6" width="26.28515625" bestFit="1" customWidth="1"/>
    <col min="8" max="8" width="10" customWidth="1"/>
  </cols>
  <sheetData>
    <row r="2" spans="2:13" ht="26.25" x14ac:dyDescent="0.25">
      <c r="B2" s="28" t="s">
        <v>31</v>
      </c>
      <c r="F2" s="12" t="s">
        <v>1</v>
      </c>
      <c r="G2" s="10" t="s">
        <v>2</v>
      </c>
      <c r="H2" s="11"/>
      <c r="I2" s="12" t="s">
        <v>3</v>
      </c>
      <c r="J2" s="10"/>
      <c r="K2" s="10" t="s">
        <v>4</v>
      </c>
      <c r="L2" s="10"/>
      <c r="M2" s="12" t="s">
        <v>5</v>
      </c>
    </row>
    <row r="3" spans="2:13" ht="19.5" customHeight="1" x14ac:dyDescent="0.25">
      <c r="F3" s="3"/>
      <c r="G3" s="3"/>
      <c r="H3" s="13"/>
      <c r="I3" s="3"/>
      <c r="J3" s="14"/>
      <c r="K3" s="3"/>
      <c r="L3" s="14"/>
      <c r="M3" s="3"/>
    </row>
    <row r="4" spans="2:13" ht="19.5" customHeight="1" x14ac:dyDescent="0.25">
      <c r="B4" s="12" t="s">
        <v>0</v>
      </c>
      <c r="F4" s="15" t="s">
        <v>6</v>
      </c>
      <c r="G4" s="16">
        <f>1</f>
        <v>1</v>
      </c>
      <c r="H4" s="13"/>
      <c r="I4" s="6">
        <v>1</v>
      </c>
      <c r="J4" s="17">
        <f>I4-G4</f>
        <v>0</v>
      </c>
      <c r="K4" s="6"/>
      <c r="L4" s="17">
        <f>K4+J4</f>
        <v>0</v>
      </c>
      <c r="M4" s="4" t="s">
        <v>7</v>
      </c>
    </row>
    <row r="5" spans="2:13" ht="19.5" customHeight="1" x14ac:dyDescent="0.25">
      <c r="B5" s="30" t="s">
        <v>54</v>
      </c>
      <c r="C5" s="8"/>
      <c r="F5" s="15"/>
      <c r="G5" s="3"/>
      <c r="H5" s="13"/>
      <c r="I5" s="3"/>
      <c r="J5" s="17"/>
      <c r="K5" s="3"/>
      <c r="L5" s="17"/>
      <c r="M5" s="15"/>
    </row>
    <row r="6" spans="2:13" ht="19.5" customHeight="1" x14ac:dyDescent="0.25">
      <c r="B6" s="2"/>
      <c r="F6" s="15" t="s">
        <v>8</v>
      </c>
      <c r="G6" s="16">
        <f>1+IF(D9&gt;300,1,0)+IF(C12&gt;1,1,0)</f>
        <v>2</v>
      </c>
      <c r="H6" s="13"/>
      <c r="I6" s="6">
        <v>2</v>
      </c>
      <c r="J6" s="17">
        <f>I6-G6</f>
        <v>0</v>
      </c>
      <c r="K6" s="6"/>
      <c r="L6" s="17">
        <f>K6+J6</f>
        <v>0</v>
      </c>
      <c r="M6" s="4" t="s">
        <v>9</v>
      </c>
    </row>
    <row r="7" spans="2:13" s="3" customFormat="1" ht="19.5" customHeight="1" x14ac:dyDescent="0.25">
      <c r="B7" s="12" t="s">
        <v>32</v>
      </c>
      <c r="C7" s="8"/>
      <c r="F7" s="15"/>
      <c r="H7" s="13"/>
      <c r="J7" s="17"/>
      <c r="L7" s="17"/>
    </row>
    <row r="8" spans="2:13" s="3" customFormat="1" ht="19.5" customHeight="1" x14ac:dyDescent="0.25">
      <c r="C8" s="8"/>
      <c r="F8" s="15" t="s">
        <v>10</v>
      </c>
      <c r="G8" s="16">
        <f>CEILING(G9+G10+G11+G12+G13+G14+G15+G16+G17,1)</f>
        <v>7</v>
      </c>
      <c r="H8" s="13"/>
      <c r="I8" s="6">
        <v>16</v>
      </c>
      <c r="J8" s="17">
        <f>I8-G8</f>
        <v>9</v>
      </c>
      <c r="K8" s="6"/>
      <c r="L8" s="17">
        <f>K8+J8</f>
        <v>9</v>
      </c>
      <c r="M8" s="4" t="s">
        <v>11</v>
      </c>
    </row>
    <row r="9" spans="2:13" s="3" customFormat="1" ht="19.5" customHeight="1" x14ac:dyDescent="0.25">
      <c r="B9" s="29" t="s">
        <v>33</v>
      </c>
      <c r="C9" s="9">
        <v>230</v>
      </c>
      <c r="D9" s="27">
        <f>(C9-C10)+(C10*2.5)-C19</f>
        <v>186</v>
      </c>
      <c r="F9" s="18" t="s">
        <v>12</v>
      </c>
      <c r="G9" s="19">
        <v>2</v>
      </c>
      <c r="H9" s="20" t="s">
        <v>13</v>
      </c>
      <c r="J9" s="17"/>
      <c r="L9" s="17"/>
      <c r="M9" s="15"/>
    </row>
    <row r="10" spans="2:13" s="4" customFormat="1" ht="19.5" customHeight="1" x14ac:dyDescent="0.25">
      <c r="B10" s="29" t="s">
        <v>34</v>
      </c>
      <c r="C10" s="9">
        <v>2</v>
      </c>
      <c r="F10" s="18" t="s">
        <v>14</v>
      </c>
      <c r="G10" s="19">
        <f>(D9-30)/44</f>
        <v>3.5454545454545454</v>
      </c>
      <c r="H10" s="20"/>
      <c r="I10" s="3"/>
      <c r="J10" s="17"/>
      <c r="K10" s="3"/>
      <c r="L10" s="17"/>
      <c r="M10" s="15"/>
    </row>
    <row r="11" spans="2:13" s="4" customFormat="1" ht="19.5" customHeight="1" x14ac:dyDescent="0.25">
      <c r="B11" s="29" t="s">
        <v>35</v>
      </c>
      <c r="C11" s="31">
        <v>15</v>
      </c>
      <c r="F11" s="21" t="s">
        <v>15</v>
      </c>
      <c r="G11" s="19">
        <f>IF(C12&gt;1,(C14+C15)*0.25,0)</f>
        <v>0</v>
      </c>
      <c r="H11" s="22"/>
      <c r="I11" s="23"/>
      <c r="J11" s="17"/>
      <c r="K11" s="3"/>
      <c r="L11" s="17"/>
      <c r="M11" s="15"/>
    </row>
    <row r="12" spans="2:13" s="3" customFormat="1" ht="19.5" customHeight="1" x14ac:dyDescent="0.25">
      <c r="B12" s="29" t="s">
        <v>36</v>
      </c>
      <c r="C12" s="9">
        <v>3</v>
      </c>
      <c r="D12" s="4"/>
      <c r="F12" s="18" t="s">
        <v>16</v>
      </c>
      <c r="G12" s="19">
        <f>IF(OR(C14="",C14=0),0,IF(C14=1,2,C14-1+2))</f>
        <v>0</v>
      </c>
      <c r="H12" s="13"/>
      <c r="J12" s="17"/>
      <c r="L12" s="17"/>
      <c r="M12" s="15"/>
    </row>
    <row r="13" spans="2:13" s="3" customFormat="1" ht="19.5" customHeight="1" x14ac:dyDescent="0.25">
      <c r="B13" s="29" t="s">
        <v>37</v>
      </c>
      <c r="C13" s="9">
        <v>228</v>
      </c>
      <c r="D13" s="4"/>
      <c r="F13" s="18" t="s">
        <v>17</v>
      </c>
      <c r="G13" s="19">
        <f>IF(OR(C15="",C15=0),0,IF(C15=1,2,C15-1+2))</f>
        <v>0</v>
      </c>
      <c r="H13" s="13"/>
      <c r="J13" s="17"/>
      <c r="L13" s="17"/>
      <c r="M13" s="15"/>
    </row>
    <row r="14" spans="2:13" s="3" customFormat="1" ht="19.5" customHeight="1" x14ac:dyDescent="0.25">
      <c r="B14" s="29" t="s">
        <v>38</v>
      </c>
      <c r="C14" s="9">
        <v>0</v>
      </c>
      <c r="D14" s="4"/>
      <c r="E14" s="5"/>
      <c r="F14" s="18" t="s">
        <v>18</v>
      </c>
      <c r="G14" s="19">
        <f>C23/2</f>
        <v>0</v>
      </c>
      <c r="H14" s="22" t="s">
        <v>13</v>
      </c>
      <c r="I14"/>
      <c r="J14" s="17"/>
      <c r="L14" s="17"/>
      <c r="M14" s="15"/>
    </row>
    <row r="15" spans="2:13" s="3" customFormat="1" ht="19.5" customHeight="1" x14ac:dyDescent="0.25">
      <c r="B15" s="29" t="s">
        <v>39</v>
      </c>
      <c r="C15" s="9">
        <v>0</v>
      </c>
      <c r="D15" s="4"/>
      <c r="E15" s="5"/>
      <c r="F15" s="18" t="s">
        <v>19</v>
      </c>
      <c r="G15" s="19">
        <f>C25/3</f>
        <v>0.66666666666666663</v>
      </c>
      <c r="H15" s="22" t="s">
        <v>13</v>
      </c>
      <c r="I15"/>
      <c r="J15" s="17"/>
      <c r="L15" s="17"/>
      <c r="M15" s="15"/>
    </row>
    <row r="16" spans="2:13" s="4" customFormat="1" ht="19.5" customHeight="1" x14ac:dyDescent="0.25">
      <c r="B16" s="29" t="s">
        <v>40</v>
      </c>
      <c r="C16" s="9" t="s">
        <v>41</v>
      </c>
      <c r="F16" s="18" t="s">
        <v>20</v>
      </c>
      <c r="G16" s="19">
        <f>IF(C16="SIM",1,0)</f>
        <v>0</v>
      </c>
      <c r="H16" s="13"/>
      <c r="I16" s="3"/>
      <c r="J16" s="17"/>
      <c r="K16" s="3"/>
      <c r="L16" s="17"/>
      <c r="M16" s="15"/>
    </row>
    <row r="17" spans="1:13" s="4" customFormat="1" ht="19.5" customHeight="1" x14ac:dyDescent="0.25">
      <c r="B17" s="32" t="s">
        <v>42</v>
      </c>
      <c r="C17" s="9">
        <v>101</v>
      </c>
      <c r="D17" s="8"/>
      <c r="F17" s="18" t="s">
        <v>21</v>
      </c>
      <c r="G17" s="19">
        <f>IF(C17="",0,IF(AND(C17/D9&gt;=0.6,C17/D9&lt;0.75),1,IF(C17/D9&gt;=0.75,2,0)))</f>
        <v>0</v>
      </c>
      <c r="H17" s="22" t="s">
        <v>13</v>
      </c>
      <c r="I17" s="3"/>
      <c r="J17" s="17"/>
      <c r="K17" s="3"/>
      <c r="L17" s="17"/>
      <c r="M17" s="15"/>
    </row>
    <row r="18" spans="1:13" s="4" customFormat="1" ht="19.5" customHeight="1" x14ac:dyDescent="0.25">
      <c r="B18" s="15" t="s">
        <v>43</v>
      </c>
      <c r="C18" s="9" t="s">
        <v>44</v>
      </c>
      <c r="D18" s="8"/>
      <c r="F18" s="5"/>
      <c r="G18" s="3"/>
      <c r="H18" s="13"/>
      <c r="I18" s="3"/>
      <c r="J18" s="17"/>
      <c r="K18" s="3"/>
      <c r="L18" s="17"/>
      <c r="M18" s="15"/>
    </row>
    <row r="19" spans="1:13" s="3" customFormat="1" ht="19.5" customHeight="1" x14ac:dyDescent="0.25">
      <c r="A19" s="4"/>
      <c r="B19" s="29" t="s">
        <v>45</v>
      </c>
      <c r="C19" s="9">
        <v>47</v>
      </c>
      <c r="D19" s="4"/>
      <c r="F19" s="15" t="s">
        <v>22</v>
      </c>
      <c r="G19" s="16">
        <f>CEILING(G20+G21+G22+G23+G24,1)</f>
        <v>13</v>
      </c>
      <c r="H19" s="13"/>
      <c r="I19" s="6">
        <v>12</v>
      </c>
      <c r="J19" s="17">
        <f>I19-G19</f>
        <v>-1</v>
      </c>
      <c r="K19" s="6"/>
      <c r="L19" s="17">
        <f>K19+J19</f>
        <v>-1</v>
      </c>
      <c r="M19" s="15" t="s">
        <v>23</v>
      </c>
    </row>
    <row r="20" spans="1:13" s="3" customFormat="1" ht="19.5" customHeight="1" x14ac:dyDescent="0.25">
      <c r="B20" s="29" t="s">
        <v>46</v>
      </c>
      <c r="C20" s="9">
        <v>4</v>
      </c>
      <c r="D20" s="4"/>
      <c r="F20" s="18" t="s">
        <v>24</v>
      </c>
      <c r="G20" s="19">
        <f>2*C20</f>
        <v>8</v>
      </c>
      <c r="H20" s="22" t="s">
        <v>13</v>
      </c>
      <c r="I20"/>
      <c r="J20" s="17"/>
      <c r="L20" s="17"/>
      <c r="M20" s="15"/>
    </row>
    <row r="21" spans="1:13" s="3" customFormat="1" ht="19.5" customHeight="1" x14ac:dyDescent="0.25">
      <c r="B21" s="29" t="s">
        <v>47</v>
      </c>
      <c r="C21" s="9">
        <v>4</v>
      </c>
      <c r="D21" s="4"/>
      <c r="F21" s="18" t="s">
        <v>25</v>
      </c>
      <c r="G21" s="19">
        <f>1*C21</f>
        <v>4</v>
      </c>
      <c r="H21" s="22"/>
      <c r="I21"/>
      <c r="J21" s="17"/>
      <c r="L21" s="17"/>
      <c r="M21" s="15"/>
    </row>
    <row r="22" spans="1:13" s="3" customFormat="1" ht="19.5" customHeight="1" x14ac:dyDescent="0.25">
      <c r="B22" s="29" t="s">
        <v>48</v>
      </c>
      <c r="C22" s="9">
        <v>0</v>
      </c>
      <c r="D22" s="4"/>
      <c r="F22" s="18" t="s">
        <v>26</v>
      </c>
      <c r="G22" s="19">
        <f>1*EB1PECSantana!C22</f>
        <v>0</v>
      </c>
      <c r="H22" s="22" t="s">
        <v>13</v>
      </c>
      <c r="I22"/>
      <c r="J22" s="17"/>
      <c r="L22" s="17"/>
      <c r="M22" s="15"/>
    </row>
    <row r="23" spans="1:13" s="3" customFormat="1" ht="19.5" customHeight="1" x14ac:dyDescent="0.25">
      <c r="B23" s="29" t="s">
        <v>49</v>
      </c>
      <c r="C23" s="9">
        <v>0</v>
      </c>
      <c r="D23" s="4"/>
      <c r="F23" s="18" t="s">
        <v>18</v>
      </c>
      <c r="G23" s="19">
        <f>C24/2</f>
        <v>0</v>
      </c>
      <c r="H23" s="22" t="s">
        <v>13</v>
      </c>
      <c r="I23"/>
      <c r="J23" s="17"/>
      <c r="L23" s="17"/>
      <c r="M23" s="15"/>
    </row>
    <row r="24" spans="1:13" s="3" customFormat="1" ht="19.5" customHeight="1" x14ac:dyDescent="0.25">
      <c r="B24" s="29" t="s">
        <v>50</v>
      </c>
      <c r="C24" s="9">
        <v>0</v>
      </c>
      <c r="D24" s="4"/>
      <c r="F24" s="18" t="s">
        <v>27</v>
      </c>
      <c r="G24" s="19">
        <f>C26/2</f>
        <v>1</v>
      </c>
      <c r="H24" s="22" t="s">
        <v>13</v>
      </c>
      <c r="I24"/>
      <c r="J24" s="17"/>
      <c r="L24" s="17"/>
      <c r="M24" s="15"/>
    </row>
    <row r="25" spans="1:13" s="3" customFormat="1" ht="19.5" customHeight="1" x14ac:dyDescent="0.25">
      <c r="B25" s="29" t="s">
        <v>51</v>
      </c>
      <c r="C25" s="9">
        <v>2</v>
      </c>
      <c r="D25" s="4"/>
      <c r="F25" s="24"/>
      <c r="G25" s="19"/>
      <c r="H25" s="13"/>
      <c r="J25" s="17"/>
      <c r="L25" s="17"/>
      <c r="M25" s="15"/>
    </row>
    <row r="26" spans="1:13" ht="19.5" customHeight="1" x14ac:dyDescent="0.25">
      <c r="A26" s="3"/>
      <c r="B26" s="29" t="s">
        <v>52</v>
      </c>
      <c r="C26" s="9">
        <v>2</v>
      </c>
      <c r="D26" s="1"/>
      <c r="F26" s="15" t="s">
        <v>28</v>
      </c>
      <c r="G26" s="16">
        <f>1+(IF(EB1PECSantana!H4&gt;250,1,0))</f>
        <v>1</v>
      </c>
      <c r="H26" s="22" t="s">
        <v>13</v>
      </c>
      <c r="I26" s="6"/>
      <c r="J26" s="17">
        <f>I26-G26</f>
        <v>-1</v>
      </c>
      <c r="K26" s="6"/>
      <c r="L26" s="17">
        <f>K26+J26</f>
        <v>-1</v>
      </c>
      <c r="M26" s="15" t="s">
        <v>29</v>
      </c>
    </row>
    <row r="27" spans="1:13" ht="19.5" customHeight="1" x14ac:dyDescent="0.25">
      <c r="B27" s="29"/>
      <c r="F27" s="15"/>
      <c r="G27" s="3"/>
      <c r="H27" s="13"/>
      <c r="I27" s="3"/>
      <c r="J27" s="17"/>
      <c r="K27" s="3"/>
      <c r="L27" s="17"/>
      <c r="M27" s="15"/>
    </row>
    <row r="28" spans="1:13" s="3" customFormat="1" ht="19.5" customHeight="1" x14ac:dyDescent="0.25">
      <c r="A28"/>
      <c r="B28" s="12" t="s">
        <v>53</v>
      </c>
      <c r="C28" s="7"/>
      <c r="F28" s="25" t="s">
        <v>30</v>
      </c>
      <c r="G28" s="26">
        <f>G4+G6+G8+G19+G26</f>
        <v>24</v>
      </c>
      <c r="H28" s="13"/>
      <c r="I28" s="26">
        <f>I4+I6+I8+I19+I26</f>
        <v>31</v>
      </c>
      <c r="J28" s="17">
        <f>I28-G28</f>
        <v>7</v>
      </c>
      <c r="K28" s="26">
        <f>K4+K6+K8+K19+K26</f>
        <v>0</v>
      </c>
      <c r="L28" s="17">
        <f>K28+J28</f>
        <v>7</v>
      </c>
    </row>
    <row r="29" spans="1:13" x14ac:dyDescent="0.25">
      <c r="A29" s="3"/>
      <c r="B29" s="44"/>
      <c r="C29" s="45"/>
    </row>
  </sheetData>
  <mergeCells count="1">
    <mergeCell ref="B29:C29"/>
  </mergeCells>
  <dataValidations count="5">
    <dataValidation type="whole" allowBlank="1" showInputMessage="1" showErrorMessage="1" sqref="C27" xr:uid="{D07A8F10-DCF8-45A9-A302-912CE1F41526}">
      <formula1>0</formula1>
      <formula2>C22</formula2>
    </dataValidation>
    <dataValidation type="whole" allowBlank="1" showInputMessage="1" showErrorMessage="1" sqref="C22" xr:uid="{3D21F9CF-EE9B-43C4-AA21-22735CFF1511}">
      <formula1>0</formula1>
      <formula2>C21</formula2>
    </dataValidation>
    <dataValidation type="list" allowBlank="1" showInputMessage="1" showErrorMessage="1" sqref="C16 C18" xr:uid="{4AC07594-16E0-43E7-8E5B-0A12B26F43F3}">
      <formula1>"SIM,NÃO"</formula1>
    </dataValidation>
    <dataValidation type="whole" allowBlank="1" showInputMessage="1" showErrorMessage="1" sqref="C28" xr:uid="{C0362108-144E-421D-8E61-AC0246B6F1C4}">
      <formula1>0</formula1>
      <formula2>C22</formula2>
    </dataValidation>
    <dataValidation allowBlank="1" showInputMessage="1" showErrorMessage="1" sqref="C14:C15 C19" xr:uid="{B9ADEF45-AC26-41B1-B332-2CF6D4641C0A}"/>
  </dataValidations>
  <pageMargins left="0.70866141732283472" right="0.70866141732283472" top="1.3385826771653544" bottom="0.74803149606299213" header="0.31496062992125984" footer="0.31496062992125984"/>
  <pageSetup paperSize="9" scale="74" orientation="landscape" verticalDpi="0" r:id="rId1"/>
  <headerFooter>
    <oddHeader>&amp;L&amp;G</oddHeader>
  </headerFooter>
  <ignoredErrors>
    <ignoredError sqref="J28" formula="1"/>
  </ignoredError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7D0A6-A85B-4295-A90E-D0C999251CB1}">
  <sheetPr>
    <tabColor theme="9"/>
  </sheetPr>
  <dimension ref="A2:M29"/>
  <sheetViews>
    <sheetView showGridLines="0" showRowColHeaders="0" zoomScale="80" zoomScaleNormal="80" workbookViewId="0">
      <selection activeCell="G11" sqref="G11"/>
    </sheetView>
  </sheetViews>
  <sheetFormatPr defaultColWidth="8.85546875" defaultRowHeight="15" x14ac:dyDescent="0.25"/>
  <cols>
    <col min="2" max="2" width="134.42578125" customWidth="1"/>
    <col min="3" max="3" width="10.42578125" style="7" bestFit="1" customWidth="1"/>
    <col min="4" max="4" width="8.7109375" customWidth="1"/>
    <col min="5" max="5" width="6.140625" customWidth="1"/>
    <col min="6" max="6" width="26.28515625" bestFit="1" customWidth="1"/>
    <col min="8" max="8" width="10" customWidth="1"/>
  </cols>
  <sheetData>
    <row r="2" spans="2:13" ht="26.25" x14ac:dyDescent="0.25">
      <c r="B2" s="28" t="s">
        <v>31</v>
      </c>
      <c r="F2" s="12" t="s">
        <v>1</v>
      </c>
      <c r="G2" s="10" t="s">
        <v>2</v>
      </c>
      <c r="H2" s="11"/>
      <c r="I2" s="12" t="s">
        <v>3</v>
      </c>
      <c r="J2" s="10"/>
      <c r="K2" s="10" t="s">
        <v>4</v>
      </c>
      <c r="L2" s="10"/>
      <c r="M2" s="12" t="s">
        <v>5</v>
      </c>
    </row>
    <row r="3" spans="2:13" ht="19.5" customHeight="1" x14ac:dyDescent="0.25">
      <c r="F3" s="3"/>
      <c r="G3" s="3"/>
      <c r="H3" s="13"/>
      <c r="I3" s="3"/>
      <c r="J3" s="14"/>
      <c r="K3" s="3"/>
      <c r="L3" s="14"/>
      <c r="M3" s="3"/>
    </row>
    <row r="4" spans="2:13" ht="19.5" customHeight="1" x14ac:dyDescent="0.25">
      <c r="B4" s="12" t="s">
        <v>0</v>
      </c>
      <c r="F4" s="15" t="s">
        <v>6</v>
      </c>
      <c r="G4" s="16">
        <f>1</f>
        <v>1</v>
      </c>
      <c r="H4" s="13"/>
      <c r="I4" s="6">
        <v>1</v>
      </c>
      <c r="J4" s="17">
        <f>I4-G4</f>
        <v>0</v>
      </c>
      <c r="K4" s="6"/>
      <c r="L4" s="17">
        <f>K4+J4</f>
        <v>0</v>
      </c>
      <c r="M4" s="4" t="s">
        <v>7</v>
      </c>
    </row>
    <row r="5" spans="2:13" ht="19.5" customHeight="1" x14ac:dyDescent="0.25">
      <c r="B5" s="30" t="s">
        <v>55</v>
      </c>
      <c r="C5" s="8"/>
      <c r="F5" s="15"/>
      <c r="G5" s="3"/>
      <c r="H5" s="13"/>
      <c r="I5" s="3"/>
      <c r="J5" s="17"/>
      <c r="K5" s="3"/>
      <c r="L5" s="17"/>
      <c r="M5" s="15"/>
    </row>
    <row r="6" spans="2:13" ht="19.5" customHeight="1" x14ac:dyDescent="0.25">
      <c r="B6" s="2"/>
      <c r="F6" s="15" t="s">
        <v>8</v>
      </c>
      <c r="G6" s="16">
        <f>1+IF(D9&gt;300,1,0)+IF(C12&gt;1,1,0)</f>
        <v>2</v>
      </c>
      <c r="H6" s="13"/>
      <c r="I6" s="6">
        <v>1</v>
      </c>
      <c r="J6" s="17">
        <f>I6-G6</f>
        <v>-1</v>
      </c>
      <c r="K6" s="6"/>
      <c r="L6" s="17">
        <f>K6+J6</f>
        <v>-1</v>
      </c>
      <c r="M6" s="4" t="s">
        <v>9</v>
      </c>
    </row>
    <row r="7" spans="2:13" s="3" customFormat="1" ht="19.5" customHeight="1" x14ac:dyDescent="0.25">
      <c r="B7" s="12" t="s">
        <v>32</v>
      </c>
      <c r="C7" s="8"/>
      <c r="F7" s="15"/>
      <c r="H7" s="13"/>
      <c r="J7" s="17"/>
      <c r="L7" s="17"/>
    </row>
    <row r="8" spans="2:13" s="3" customFormat="1" ht="19.5" customHeight="1" x14ac:dyDescent="0.25">
      <c r="C8" s="8"/>
      <c r="F8" s="15" t="s">
        <v>10</v>
      </c>
      <c r="G8" s="16">
        <f>CEILING(G9+G10+G11+G12+G13+G14+G15+G16+G17,1)</f>
        <v>7</v>
      </c>
      <c r="H8" s="13"/>
      <c r="I8" s="6">
        <v>12</v>
      </c>
      <c r="J8" s="17">
        <f>I8-G8</f>
        <v>5</v>
      </c>
      <c r="K8" s="6"/>
      <c r="L8" s="17">
        <f>K8+J8</f>
        <v>5</v>
      </c>
      <c r="M8" s="4" t="s">
        <v>11</v>
      </c>
    </row>
    <row r="9" spans="2:13" s="3" customFormat="1" ht="19.5" customHeight="1" x14ac:dyDescent="0.25">
      <c r="B9" s="29" t="s">
        <v>33</v>
      </c>
      <c r="C9" s="9">
        <v>102</v>
      </c>
      <c r="D9" s="27">
        <f>(C9-C10)+(C10*2.5)-C19</f>
        <v>88</v>
      </c>
      <c r="F9" s="18" t="s">
        <v>12</v>
      </c>
      <c r="G9" s="19">
        <v>2</v>
      </c>
      <c r="H9" s="20" t="s">
        <v>13</v>
      </c>
      <c r="J9" s="17"/>
      <c r="L9" s="17"/>
      <c r="M9" s="15"/>
    </row>
    <row r="10" spans="2:13" s="4" customFormat="1" ht="19.5" customHeight="1" x14ac:dyDescent="0.25">
      <c r="B10" s="29" t="s">
        <v>34</v>
      </c>
      <c r="C10" s="9">
        <v>6</v>
      </c>
      <c r="F10" s="18" t="s">
        <v>14</v>
      </c>
      <c r="G10" s="19">
        <f>(D9-30)/44</f>
        <v>1.3181818181818181</v>
      </c>
      <c r="H10" s="20"/>
      <c r="I10" s="3"/>
      <c r="J10" s="17"/>
      <c r="K10" s="3"/>
      <c r="L10" s="17"/>
      <c r="M10" s="15"/>
    </row>
    <row r="11" spans="2:13" s="4" customFormat="1" ht="19.5" customHeight="1" x14ac:dyDescent="0.25">
      <c r="B11" s="29" t="s">
        <v>35</v>
      </c>
      <c r="C11" s="31">
        <v>7</v>
      </c>
      <c r="F11" s="21" t="s">
        <v>15</v>
      </c>
      <c r="G11" s="19">
        <f>IF(C12&gt;1,(C14+C15)*0.25,0)</f>
        <v>0.25</v>
      </c>
      <c r="H11" s="22"/>
      <c r="I11" s="23"/>
      <c r="J11" s="17"/>
      <c r="K11" s="3"/>
      <c r="L11" s="17"/>
      <c r="M11" s="15"/>
    </row>
    <row r="12" spans="2:13" s="3" customFormat="1" ht="19.5" customHeight="1" x14ac:dyDescent="0.25">
      <c r="B12" s="29" t="s">
        <v>36</v>
      </c>
      <c r="C12" s="9">
        <v>2</v>
      </c>
      <c r="D12" s="4"/>
      <c r="F12" s="18" t="s">
        <v>16</v>
      </c>
      <c r="G12" s="19">
        <f>IF(OR(C14="",C14=0),0,IF(C14=1,2,C14-1+2))</f>
        <v>0</v>
      </c>
      <c r="H12" s="13"/>
      <c r="J12" s="17"/>
      <c r="L12" s="17"/>
      <c r="M12" s="15"/>
    </row>
    <row r="13" spans="2:13" s="3" customFormat="1" ht="19.5" customHeight="1" x14ac:dyDescent="0.25">
      <c r="B13" s="29" t="s">
        <v>37</v>
      </c>
      <c r="C13" s="9">
        <v>88</v>
      </c>
      <c r="D13" s="4"/>
      <c r="F13" s="18" t="s">
        <v>17</v>
      </c>
      <c r="G13" s="19">
        <f>IF(OR(C15="",C15=0),0,IF(C15=1,2,C15-1+2))</f>
        <v>2</v>
      </c>
      <c r="H13" s="13"/>
      <c r="J13" s="17"/>
      <c r="L13" s="17"/>
      <c r="M13" s="15"/>
    </row>
    <row r="14" spans="2:13" s="3" customFormat="1" ht="19.5" customHeight="1" x14ac:dyDescent="0.25">
      <c r="B14" s="29" t="s">
        <v>38</v>
      </c>
      <c r="C14" s="9">
        <v>0</v>
      </c>
      <c r="D14" s="4"/>
      <c r="E14" s="5"/>
      <c r="F14" s="18" t="s">
        <v>18</v>
      </c>
      <c r="G14" s="19">
        <f>C23/2</f>
        <v>0</v>
      </c>
      <c r="H14" s="22" t="s">
        <v>13</v>
      </c>
      <c r="I14"/>
      <c r="J14" s="17"/>
      <c r="L14" s="17"/>
      <c r="M14" s="15"/>
    </row>
    <row r="15" spans="2:13" s="3" customFormat="1" ht="19.5" customHeight="1" x14ac:dyDescent="0.25">
      <c r="B15" s="29" t="s">
        <v>39</v>
      </c>
      <c r="C15" s="9">
        <v>1</v>
      </c>
      <c r="D15" s="4"/>
      <c r="E15" s="5"/>
      <c r="F15" s="18" t="s">
        <v>19</v>
      </c>
      <c r="G15" s="19">
        <f>C25/3</f>
        <v>0.33333333333333331</v>
      </c>
      <c r="H15" s="22" t="s">
        <v>13</v>
      </c>
      <c r="I15"/>
      <c r="J15" s="17"/>
      <c r="L15" s="17"/>
      <c r="M15" s="15"/>
    </row>
    <row r="16" spans="2:13" s="4" customFormat="1" ht="19.5" customHeight="1" x14ac:dyDescent="0.25">
      <c r="B16" s="29" t="s">
        <v>40</v>
      </c>
      <c r="C16" s="9" t="s">
        <v>41</v>
      </c>
      <c r="F16" s="18" t="s">
        <v>20</v>
      </c>
      <c r="G16" s="19">
        <f>IF(C16="SIM",1,0)</f>
        <v>0</v>
      </c>
      <c r="H16" s="13"/>
      <c r="I16" s="3"/>
      <c r="J16" s="17"/>
      <c r="K16" s="3"/>
      <c r="L16" s="17"/>
      <c r="M16" s="15"/>
    </row>
    <row r="17" spans="1:13" s="4" customFormat="1" ht="19.5" customHeight="1" x14ac:dyDescent="0.25">
      <c r="B17" s="32" t="s">
        <v>42</v>
      </c>
      <c r="C17" s="9">
        <v>57</v>
      </c>
      <c r="D17" s="8"/>
      <c r="F17" s="18" t="s">
        <v>21</v>
      </c>
      <c r="G17" s="19">
        <f>IF(C17="",0,IF(AND(C17/D9&gt;=0.6,C17/D9&lt;0.75),1,IF(C17/D9&gt;=0.75,2,0)))</f>
        <v>1</v>
      </c>
      <c r="H17" s="22" t="s">
        <v>13</v>
      </c>
      <c r="I17" s="3"/>
      <c r="J17" s="17"/>
      <c r="K17" s="3"/>
      <c r="L17" s="17"/>
      <c r="M17" s="15"/>
    </row>
    <row r="18" spans="1:13" s="4" customFormat="1" ht="19.5" customHeight="1" x14ac:dyDescent="0.25">
      <c r="B18" s="15" t="s">
        <v>43</v>
      </c>
      <c r="C18" s="9" t="s">
        <v>44</v>
      </c>
      <c r="D18" s="8"/>
      <c r="F18" s="5"/>
      <c r="G18" s="3"/>
      <c r="H18" s="13"/>
      <c r="I18" s="3"/>
      <c r="J18" s="17"/>
      <c r="K18" s="3"/>
      <c r="L18" s="17"/>
      <c r="M18" s="15"/>
    </row>
    <row r="19" spans="1:13" s="3" customFormat="1" ht="19.5" customHeight="1" x14ac:dyDescent="0.25">
      <c r="A19" s="4"/>
      <c r="B19" s="29" t="s">
        <v>45</v>
      </c>
      <c r="C19" s="9">
        <v>23</v>
      </c>
      <c r="D19" s="4"/>
      <c r="F19" s="15" t="s">
        <v>22</v>
      </c>
      <c r="G19" s="16">
        <f>CEILING(G20+G21+G22+G23+G24,1)</f>
        <v>7</v>
      </c>
      <c r="H19" s="13"/>
      <c r="I19" s="6">
        <v>4</v>
      </c>
      <c r="J19" s="17">
        <f>I19-G19</f>
        <v>-3</v>
      </c>
      <c r="K19" s="6"/>
      <c r="L19" s="17">
        <f>K19+J19</f>
        <v>-3</v>
      </c>
      <c r="M19" s="15" t="s">
        <v>23</v>
      </c>
    </row>
    <row r="20" spans="1:13" s="3" customFormat="1" ht="19.5" customHeight="1" x14ac:dyDescent="0.25">
      <c r="B20" s="29" t="s">
        <v>46</v>
      </c>
      <c r="C20" s="9">
        <v>2</v>
      </c>
      <c r="D20" s="4"/>
      <c r="F20" s="18" t="s">
        <v>24</v>
      </c>
      <c r="G20" s="19">
        <f>2*C20</f>
        <v>4</v>
      </c>
      <c r="H20" s="22" t="s">
        <v>13</v>
      </c>
      <c r="I20"/>
      <c r="J20" s="17"/>
      <c r="L20" s="17"/>
      <c r="M20" s="15"/>
    </row>
    <row r="21" spans="1:13" s="3" customFormat="1" ht="19.5" customHeight="1" x14ac:dyDescent="0.25">
      <c r="B21" s="29" t="s">
        <v>47</v>
      </c>
      <c r="C21" s="9">
        <v>2</v>
      </c>
      <c r="D21" s="4"/>
      <c r="F21" s="18" t="s">
        <v>25</v>
      </c>
      <c r="G21" s="19">
        <f>1*C21</f>
        <v>2</v>
      </c>
      <c r="H21" s="22"/>
      <c r="I21"/>
      <c r="J21" s="17"/>
      <c r="L21" s="17"/>
      <c r="M21" s="15"/>
    </row>
    <row r="22" spans="1:13" s="3" customFormat="1" ht="19.5" customHeight="1" x14ac:dyDescent="0.25">
      <c r="B22" s="29" t="s">
        <v>48</v>
      </c>
      <c r="C22" s="9">
        <v>0</v>
      </c>
      <c r="D22" s="4"/>
      <c r="F22" s="18" t="s">
        <v>26</v>
      </c>
      <c r="G22" s="19">
        <f>1*EB1PECFaialSRoque!C22</f>
        <v>0</v>
      </c>
      <c r="H22" s="22" t="s">
        <v>13</v>
      </c>
      <c r="I22"/>
      <c r="J22" s="17"/>
      <c r="L22" s="17"/>
      <c r="M22" s="15"/>
    </row>
    <row r="23" spans="1:13" s="3" customFormat="1" ht="19.5" customHeight="1" x14ac:dyDescent="0.25">
      <c r="B23" s="29" t="s">
        <v>49</v>
      </c>
      <c r="C23" s="9">
        <v>0</v>
      </c>
      <c r="D23" s="4"/>
      <c r="F23" s="18" t="s">
        <v>18</v>
      </c>
      <c r="G23" s="19">
        <f>C24/2</f>
        <v>0</v>
      </c>
      <c r="H23" s="22" t="s">
        <v>13</v>
      </c>
      <c r="I23"/>
      <c r="J23" s="17"/>
      <c r="L23" s="17"/>
      <c r="M23" s="15"/>
    </row>
    <row r="24" spans="1:13" s="3" customFormat="1" ht="19.5" customHeight="1" x14ac:dyDescent="0.25">
      <c r="B24" s="29" t="s">
        <v>50</v>
      </c>
      <c r="C24" s="9">
        <v>0</v>
      </c>
      <c r="D24" s="4"/>
      <c r="F24" s="18" t="s">
        <v>27</v>
      </c>
      <c r="G24" s="19">
        <f>C26/2</f>
        <v>0.5</v>
      </c>
      <c r="H24" s="22" t="s">
        <v>13</v>
      </c>
      <c r="I24"/>
      <c r="J24" s="17"/>
      <c r="L24" s="17"/>
      <c r="M24" s="15"/>
    </row>
    <row r="25" spans="1:13" s="3" customFormat="1" ht="19.5" customHeight="1" x14ac:dyDescent="0.25">
      <c r="B25" s="29" t="s">
        <v>51</v>
      </c>
      <c r="C25" s="9">
        <v>1</v>
      </c>
      <c r="D25" s="4"/>
      <c r="F25" s="24"/>
      <c r="G25" s="19"/>
      <c r="H25" s="13"/>
      <c r="J25" s="17"/>
      <c r="L25" s="17"/>
      <c r="M25" s="15"/>
    </row>
    <row r="26" spans="1:13" ht="19.5" customHeight="1" x14ac:dyDescent="0.25">
      <c r="A26" s="3"/>
      <c r="B26" s="29" t="s">
        <v>52</v>
      </c>
      <c r="C26" s="9">
        <v>1</v>
      </c>
      <c r="D26" s="1"/>
      <c r="F26" s="15" t="s">
        <v>28</v>
      </c>
      <c r="G26" s="16">
        <f>1+(IF(EB1PECFaialSRoque!H4&gt;250,1,0))</f>
        <v>1</v>
      </c>
      <c r="H26" s="22" t="s">
        <v>13</v>
      </c>
      <c r="I26" s="6"/>
      <c r="J26" s="17">
        <f>I26-G26</f>
        <v>-1</v>
      </c>
      <c r="K26" s="6"/>
      <c r="L26" s="17">
        <f>K26+J26</f>
        <v>-1</v>
      </c>
      <c r="M26" s="15" t="s">
        <v>29</v>
      </c>
    </row>
    <row r="27" spans="1:13" ht="19.5" customHeight="1" x14ac:dyDescent="0.25">
      <c r="B27" s="29"/>
      <c r="F27" s="15"/>
      <c r="G27" s="3"/>
      <c r="H27" s="13"/>
      <c r="I27" s="3"/>
      <c r="J27" s="17"/>
      <c r="K27" s="3"/>
      <c r="L27" s="17"/>
      <c r="M27" s="15"/>
    </row>
    <row r="28" spans="1:13" s="3" customFormat="1" ht="19.5" customHeight="1" x14ac:dyDescent="0.25">
      <c r="A28"/>
      <c r="B28" s="12" t="s">
        <v>53</v>
      </c>
      <c r="C28" s="7"/>
      <c r="F28" s="25" t="s">
        <v>30</v>
      </c>
      <c r="G28" s="26">
        <f>G4+G6+G8+G19+G26</f>
        <v>18</v>
      </c>
      <c r="H28" s="13"/>
      <c r="I28" s="26">
        <f>I4+I6+I8+I19+I26</f>
        <v>18</v>
      </c>
      <c r="J28" s="17">
        <f>I28-G28</f>
        <v>0</v>
      </c>
      <c r="K28" s="26">
        <f>K4+K6+K8+K19+K26</f>
        <v>0</v>
      </c>
      <c r="L28" s="17">
        <f>K28+J28</f>
        <v>0</v>
      </c>
    </row>
    <row r="29" spans="1:13" x14ac:dyDescent="0.25">
      <c r="A29" s="3"/>
      <c r="B29" s="44"/>
      <c r="C29" s="45"/>
    </row>
  </sheetData>
  <mergeCells count="1">
    <mergeCell ref="B29:C29"/>
  </mergeCells>
  <dataValidations count="5">
    <dataValidation allowBlank="1" showInputMessage="1" showErrorMessage="1" sqref="C14:C15 C19" xr:uid="{414C0594-7306-4D3E-BCDB-82C49FEC853E}"/>
    <dataValidation type="whole" allowBlank="1" showInputMessage="1" showErrorMessage="1" sqref="C28" xr:uid="{3CD7AAE0-61CE-46E5-BAEA-1A166B941F48}">
      <formula1>0</formula1>
      <formula2>C22</formula2>
    </dataValidation>
    <dataValidation type="list" allowBlank="1" showInputMessage="1" showErrorMessage="1" sqref="C16 C18" xr:uid="{818E107B-FA69-4F5B-BA90-003EC6D18343}">
      <formula1>"SIM,NÃO"</formula1>
    </dataValidation>
    <dataValidation type="whole" allowBlank="1" showInputMessage="1" showErrorMessage="1" sqref="C22" xr:uid="{D0AFC15E-7ABF-43FF-B5E4-E80DFB04AB21}">
      <formula1>0</formula1>
      <formula2>C21</formula2>
    </dataValidation>
    <dataValidation type="whole" allowBlank="1" showInputMessage="1" showErrorMessage="1" sqref="C27" xr:uid="{2989BE03-6C45-40F2-911A-1ADDB89AC939}">
      <formula1>0</formula1>
      <formula2>C22</formula2>
    </dataValidation>
  </dataValidations>
  <pageMargins left="0.70866141732283472" right="0.70866141732283472" top="1.3385826771653544" bottom="0.74803149606299213" header="0.31496062992125984" footer="0.31496062992125984"/>
  <pageSetup paperSize="9" scale="74" orientation="landscape" verticalDpi="0" r:id="rId1"/>
  <headerFooter>
    <oddHeader>&amp;L&amp;G</oddHeader>
  </headerFooter>
  <ignoredErrors>
    <ignoredError sqref="J28" formula="1"/>
  </ignoredError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0D739-9CBC-4758-94F7-70F72D3C9FB3}">
  <sheetPr>
    <tabColor theme="9"/>
  </sheetPr>
  <dimension ref="A2:M29"/>
  <sheetViews>
    <sheetView showGridLines="0" showRowColHeaders="0" zoomScale="80" zoomScaleNormal="80" workbookViewId="0">
      <selection activeCell="B5" sqref="B5"/>
    </sheetView>
  </sheetViews>
  <sheetFormatPr defaultColWidth="8.85546875" defaultRowHeight="15" x14ac:dyDescent="0.25"/>
  <cols>
    <col min="2" max="2" width="134.42578125" customWidth="1"/>
    <col min="3" max="3" width="10.42578125" style="7" bestFit="1" customWidth="1"/>
    <col min="4" max="4" width="8.7109375" customWidth="1"/>
    <col min="5" max="5" width="6.140625" customWidth="1"/>
    <col min="6" max="6" width="26.28515625" bestFit="1" customWidth="1"/>
    <col min="8" max="8" width="10" customWidth="1"/>
  </cols>
  <sheetData>
    <row r="2" spans="2:13" ht="26.25" x14ac:dyDescent="0.25">
      <c r="B2" s="28" t="s">
        <v>31</v>
      </c>
      <c r="F2" s="12" t="s">
        <v>1</v>
      </c>
      <c r="G2" s="10" t="s">
        <v>2</v>
      </c>
      <c r="H2" s="11"/>
      <c r="I2" s="12" t="s">
        <v>3</v>
      </c>
      <c r="J2" s="10"/>
      <c r="K2" s="10" t="s">
        <v>4</v>
      </c>
      <c r="L2" s="10"/>
      <c r="M2" s="12" t="s">
        <v>5</v>
      </c>
    </row>
    <row r="3" spans="2:13" ht="19.5" customHeight="1" x14ac:dyDescent="0.25">
      <c r="F3" s="3"/>
      <c r="G3" s="3"/>
      <c r="H3" s="13"/>
      <c r="I3" s="3"/>
      <c r="J3" s="14"/>
      <c r="K3" s="3"/>
      <c r="L3" s="14"/>
      <c r="M3" s="3"/>
    </row>
    <row r="4" spans="2:13" ht="19.5" customHeight="1" x14ac:dyDescent="0.25">
      <c r="B4" s="12" t="s">
        <v>0</v>
      </c>
      <c r="F4" s="15" t="s">
        <v>6</v>
      </c>
      <c r="G4" s="16">
        <f>1</f>
        <v>1</v>
      </c>
      <c r="H4" s="13"/>
      <c r="I4" s="6">
        <v>1</v>
      </c>
      <c r="J4" s="17">
        <f>I4-G4</f>
        <v>0</v>
      </c>
      <c r="K4" s="6"/>
      <c r="L4" s="17">
        <f>K4+J4</f>
        <v>0</v>
      </c>
      <c r="M4" s="4" t="s">
        <v>7</v>
      </c>
    </row>
    <row r="5" spans="2:13" ht="19.5" customHeight="1" x14ac:dyDescent="0.25">
      <c r="B5" s="30" t="s">
        <v>56</v>
      </c>
      <c r="C5" s="8"/>
      <c r="F5" s="15"/>
      <c r="G5" s="3"/>
      <c r="H5" s="13"/>
      <c r="I5" s="3"/>
      <c r="J5" s="17"/>
      <c r="K5" s="3"/>
      <c r="L5" s="17"/>
      <c r="M5" s="15"/>
    </row>
    <row r="6" spans="2:13" ht="19.5" customHeight="1" x14ac:dyDescent="0.25">
      <c r="B6" s="2"/>
      <c r="F6" s="15" t="s">
        <v>8</v>
      </c>
      <c r="G6" s="16">
        <f>1+IF(D9&gt;300,1,0)+IF(C12&gt;1,1,0)</f>
        <v>1</v>
      </c>
      <c r="H6" s="13"/>
      <c r="I6" s="6">
        <v>1</v>
      </c>
      <c r="J6" s="17">
        <f>I6-G6</f>
        <v>0</v>
      </c>
      <c r="K6" s="6"/>
      <c r="L6" s="17">
        <f>K6+J6</f>
        <v>0</v>
      </c>
      <c r="M6" s="4" t="s">
        <v>9</v>
      </c>
    </row>
    <row r="7" spans="2:13" s="3" customFormat="1" ht="19.5" customHeight="1" x14ac:dyDescent="0.25">
      <c r="B7" s="12" t="s">
        <v>32</v>
      </c>
      <c r="C7" s="8"/>
      <c r="F7" s="15"/>
      <c r="H7" s="13"/>
      <c r="J7" s="17"/>
      <c r="L7" s="17"/>
    </row>
    <row r="8" spans="2:13" s="3" customFormat="1" ht="19.5" customHeight="1" x14ac:dyDescent="0.25">
      <c r="C8" s="8"/>
      <c r="F8" s="15" t="s">
        <v>10</v>
      </c>
      <c r="G8" s="16">
        <f>CEILING(G9+G10+G11+G12+G13+G14+G15+G16+G17,1)</f>
        <v>6</v>
      </c>
      <c r="H8" s="13"/>
      <c r="I8" s="6">
        <v>7</v>
      </c>
      <c r="J8" s="17">
        <f>I8-G8</f>
        <v>1</v>
      </c>
      <c r="K8" s="6"/>
      <c r="L8" s="17">
        <f>K8+J8</f>
        <v>1</v>
      </c>
      <c r="M8" s="4" t="s">
        <v>11</v>
      </c>
    </row>
    <row r="9" spans="2:13" s="3" customFormat="1" ht="19.5" customHeight="1" x14ac:dyDescent="0.25">
      <c r="B9" s="29" t="s">
        <v>33</v>
      </c>
      <c r="C9" s="9">
        <v>67</v>
      </c>
      <c r="D9" s="27">
        <f>(C9-C10)+(C10*2.5)-C19</f>
        <v>55</v>
      </c>
      <c r="F9" s="18" t="s">
        <v>12</v>
      </c>
      <c r="G9" s="19">
        <v>2</v>
      </c>
      <c r="H9" s="20" t="s">
        <v>13</v>
      </c>
      <c r="J9" s="17"/>
      <c r="L9" s="17"/>
      <c r="M9" s="15"/>
    </row>
    <row r="10" spans="2:13" s="4" customFormat="1" ht="19.5" customHeight="1" x14ac:dyDescent="0.25">
      <c r="B10" s="29" t="s">
        <v>34</v>
      </c>
      <c r="C10" s="9">
        <v>0</v>
      </c>
      <c r="F10" s="18" t="s">
        <v>14</v>
      </c>
      <c r="G10" s="19">
        <f>(D9-30)/44</f>
        <v>0.56818181818181823</v>
      </c>
      <c r="H10" s="20"/>
      <c r="I10" s="3"/>
      <c r="J10" s="17"/>
      <c r="K10" s="3"/>
      <c r="L10" s="17"/>
      <c r="M10" s="15"/>
    </row>
    <row r="11" spans="2:13" s="4" customFormat="1" ht="19.5" customHeight="1" x14ac:dyDescent="0.25">
      <c r="B11" s="29" t="s">
        <v>35</v>
      </c>
      <c r="C11" s="31">
        <v>5</v>
      </c>
      <c r="F11" s="21" t="s">
        <v>15</v>
      </c>
      <c r="G11" s="19">
        <f>IF(C12&gt;1,(C14+C15)*0.25,0)</f>
        <v>0</v>
      </c>
      <c r="H11" s="22"/>
      <c r="I11" s="23"/>
      <c r="J11" s="17"/>
      <c r="K11" s="3"/>
      <c r="L11" s="17"/>
      <c r="M11" s="15"/>
    </row>
    <row r="12" spans="2:13" s="3" customFormat="1" ht="19.5" customHeight="1" x14ac:dyDescent="0.25">
      <c r="B12" s="29" t="s">
        <v>36</v>
      </c>
      <c r="C12" s="9">
        <v>1</v>
      </c>
      <c r="D12" s="4"/>
      <c r="F12" s="18" t="s">
        <v>16</v>
      </c>
      <c r="G12" s="19">
        <f>IF(OR(C14="",C14=0),0,IF(C14=1,2,C14-1+2))</f>
        <v>0</v>
      </c>
      <c r="H12" s="13"/>
      <c r="J12" s="17"/>
      <c r="L12" s="17"/>
      <c r="M12" s="15"/>
    </row>
    <row r="13" spans="2:13" s="3" customFormat="1" ht="19.5" customHeight="1" x14ac:dyDescent="0.25">
      <c r="B13" s="29" t="s">
        <v>37</v>
      </c>
      <c r="C13" s="9">
        <v>67</v>
      </c>
      <c r="D13" s="4"/>
      <c r="F13" s="18" t="s">
        <v>17</v>
      </c>
      <c r="G13" s="19">
        <f>IF(OR(C15="",C15=0),0,IF(C15=1,2,C15-1+2))</f>
        <v>0</v>
      </c>
      <c r="H13" s="13"/>
      <c r="J13" s="17"/>
      <c r="L13" s="17"/>
      <c r="M13" s="15"/>
    </row>
    <row r="14" spans="2:13" s="3" customFormat="1" ht="19.5" customHeight="1" x14ac:dyDescent="0.25">
      <c r="B14" s="29" t="s">
        <v>38</v>
      </c>
      <c r="C14" s="9">
        <v>0</v>
      </c>
      <c r="D14" s="4"/>
      <c r="E14" s="5"/>
      <c r="F14" s="18" t="s">
        <v>18</v>
      </c>
      <c r="G14" s="19">
        <f>C23/2</f>
        <v>0</v>
      </c>
      <c r="H14" s="22" t="s">
        <v>13</v>
      </c>
      <c r="I14"/>
      <c r="J14" s="17"/>
      <c r="L14" s="17"/>
      <c r="M14" s="15"/>
    </row>
    <row r="15" spans="2:13" s="3" customFormat="1" ht="19.5" customHeight="1" x14ac:dyDescent="0.25">
      <c r="B15" s="29" t="s">
        <v>39</v>
      </c>
      <c r="C15" s="9">
        <v>0</v>
      </c>
      <c r="D15" s="4"/>
      <c r="E15" s="5"/>
      <c r="F15" s="18" t="s">
        <v>19</v>
      </c>
      <c r="G15" s="19">
        <f>C25/3</f>
        <v>0.66666666666666663</v>
      </c>
      <c r="H15" s="22" t="s">
        <v>13</v>
      </c>
      <c r="I15"/>
      <c r="J15" s="17"/>
      <c r="L15" s="17"/>
      <c r="M15" s="15"/>
    </row>
    <row r="16" spans="2:13" s="4" customFormat="1" ht="19.5" customHeight="1" x14ac:dyDescent="0.25">
      <c r="B16" s="29" t="s">
        <v>40</v>
      </c>
      <c r="C16" s="9" t="s">
        <v>41</v>
      </c>
      <c r="F16" s="18" t="s">
        <v>20</v>
      </c>
      <c r="G16" s="19">
        <f>IF(C16="SIM",1,0)</f>
        <v>0</v>
      </c>
      <c r="H16" s="13"/>
      <c r="I16" s="3"/>
      <c r="J16" s="17"/>
      <c r="K16" s="3"/>
      <c r="L16" s="17"/>
      <c r="M16" s="15"/>
    </row>
    <row r="17" spans="1:13" s="4" customFormat="1" ht="19.5" customHeight="1" x14ac:dyDescent="0.25">
      <c r="B17" s="32" t="s">
        <v>42</v>
      </c>
      <c r="C17" s="9">
        <v>44</v>
      </c>
      <c r="D17" s="8"/>
      <c r="F17" s="18" t="s">
        <v>21</v>
      </c>
      <c r="G17" s="19">
        <f>IF(C17="",0,IF(AND(C17/D9&gt;=0.6,C17/D9&lt;0.75),1,IF(C17/D9&gt;=0.75,2,0)))</f>
        <v>2</v>
      </c>
      <c r="H17" s="22" t="s">
        <v>13</v>
      </c>
      <c r="I17" s="3"/>
      <c r="J17" s="17"/>
      <c r="K17" s="3"/>
      <c r="L17" s="17"/>
      <c r="M17" s="15"/>
    </row>
    <row r="18" spans="1:13" s="4" customFormat="1" ht="19.5" customHeight="1" x14ac:dyDescent="0.25">
      <c r="B18" s="15" t="s">
        <v>43</v>
      </c>
      <c r="C18" s="9" t="s">
        <v>44</v>
      </c>
      <c r="D18" s="8"/>
      <c r="F18" s="5"/>
      <c r="G18" s="3"/>
      <c r="H18" s="13"/>
      <c r="I18" s="3"/>
      <c r="J18" s="17"/>
      <c r="K18" s="3"/>
      <c r="L18" s="17"/>
      <c r="M18" s="15"/>
    </row>
    <row r="19" spans="1:13" s="3" customFormat="1" ht="19.5" customHeight="1" x14ac:dyDescent="0.25">
      <c r="A19" s="4"/>
      <c r="B19" s="29" t="s">
        <v>45</v>
      </c>
      <c r="C19" s="9">
        <v>12</v>
      </c>
      <c r="D19" s="4"/>
      <c r="F19" s="15" t="s">
        <v>22</v>
      </c>
      <c r="G19" s="16">
        <f>CEILING(G20+G21+G22+G23+G24,1)</f>
        <v>5</v>
      </c>
      <c r="H19" s="13"/>
      <c r="I19" s="6">
        <v>3</v>
      </c>
      <c r="J19" s="17">
        <f>I19-G19</f>
        <v>-2</v>
      </c>
      <c r="K19" s="6"/>
      <c r="L19" s="17">
        <f>K19+J19</f>
        <v>-2</v>
      </c>
      <c r="M19" s="15" t="s">
        <v>23</v>
      </c>
    </row>
    <row r="20" spans="1:13" s="3" customFormat="1" ht="19.5" customHeight="1" x14ac:dyDescent="0.25">
      <c r="B20" s="29" t="s">
        <v>46</v>
      </c>
      <c r="C20" s="9">
        <v>1</v>
      </c>
      <c r="D20" s="4"/>
      <c r="F20" s="18" t="s">
        <v>24</v>
      </c>
      <c r="G20" s="19">
        <f>2*C20</f>
        <v>2</v>
      </c>
      <c r="H20" s="22" t="s">
        <v>13</v>
      </c>
      <c r="I20"/>
      <c r="J20" s="17"/>
      <c r="L20" s="17"/>
      <c r="M20" s="15"/>
    </row>
    <row r="21" spans="1:13" s="3" customFormat="1" ht="19.5" customHeight="1" x14ac:dyDescent="0.25">
      <c r="B21" s="29" t="s">
        <v>47</v>
      </c>
      <c r="C21" s="9">
        <v>2</v>
      </c>
      <c r="D21" s="4"/>
      <c r="F21" s="18" t="s">
        <v>25</v>
      </c>
      <c r="G21" s="19">
        <f>1*C21</f>
        <v>2</v>
      </c>
      <c r="H21" s="22"/>
      <c r="I21"/>
      <c r="J21" s="17"/>
      <c r="L21" s="17"/>
      <c r="M21" s="15"/>
    </row>
    <row r="22" spans="1:13" s="3" customFormat="1" ht="19.5" customHeight="1" x14ac:dyDescent="0.25">
      <c r="B22" s="29" t="s">
        <v>48</v>
      </c>
      <c r="C22" s="9">
        <v>1</v>
      </c>
      <c r="D22" s="4"/>
      <c r="F22" s="18" t="s">
        <v>26</v>
      </c>
      <c r="G22" s="19">
        <f>1*EB1PECSJorge!C22</f>
        <v>1</v>
      </c>
      <c r="H22" s="22" t="s">
        <v>13</v>
      </c>
      <c r="I22"/>
      <c r="J22" s="17"/>
      <c r="L22" s="17"/>
      <c r="M22" s="15"/>
    </row>
    <row r="23" spans="1:13" s="3" customFormat="1" ht="19.5" customHeight="1" x14ac:dyDescent="0.25">
      <c r="B23" s="29" t="s">
        <v>49</v>
      </c>
      <c r="C23" s="9">
        <v>0</v>
      </c>
      <c r="D23" s="4"/>
      <c r="F23" s="18" t="s">
        <v>18</v>
      </c>
      <c r="G23" s="19">
        <f>C24/2</f>
        <v>0</v>
      </c>
      <c r="H23" s="22" t="s">
        <v>13</v>
      </c>
      <c r="I23"/>
      <c r="J23" s="17"/>
      <c r="L23" s="17"/>
      <c r="M23" s="15"/>
    </row>
    <row r="24" spans="1:13" s="3" customFormat="1" ht="19.5" customHeight="1" x14ac:dyDescent="0.25">
      <c r="B24" s="29" t="s">
        <v>50</v>
      </c>
      <c r="C24" s="9">
        <v>0</v>
      </c>
      <c r="D24" s="4"/>
      <c r="F24" s="18" t="s">
        <v>27</v>
      </c>
      <c r="G24" s="19">
        <f>C26/2</f>
        <v>0</v>
      </c>
      <c r="H24" s="22" t="s">
        <v>13</v>
      </c>
      <c r="I24"/>
      <c r="J24" s="17"/>
      <c r="L24" s="17"/>
      <c r="M24" s="15"/>
    </row>
    <row r="25" spans="1:13" s="3" customFormat="1" ht="19.5" customHeight="1" x14ac:dyDescent="0.25">
      <c r="B25" s="29" t="s">
        <v>51</v>
      </c>
      <c r="C25" s="9">
        <v>2</v>
      </c>
      <c r="D25" s="4"/>
      <c r="F25" s="24"/>
      <c r="G25" s="19"/>
      <c r="H25" s="13"/>
      <c r="J25" s="17"/>
      <c r="L25" s="17"/>
      <c r="M25" s="15"/>
    </row>
    <row r="26" spans="1:13" ht="19.5" customHeight="1" x14ac:dyDescent="0.25">
      <c r="A26" s="3"/>
      <c r="B26" s="29" t="s">
        <v>52</v>
      </c>
      <c r="C26" s="9">
        <v>0</v>
      </c>
      <c r="D26" s="1"/>
      <c r="F26" s="15" t="s">
        <v>28</v>
      </c>
      <c r="G26" s="16">
        <f>1+(IF(EB1PECSJorge!H4&gt;250,1,0))</f>
        <v>1</v>
      </c>
      <c r="H26" s="22" t="s">
        <v>13</v>
      </c>
      <c r="I26" s="6"/>
      <c r="J26" s="17">
        <f>I26-G26</f>
        <v>-1</v>
      </c>
      <c r="K26" s="6"/>
      <c r="L26" s="17">
        <f>K26+J26</f>
        <v>-1</v>
      </c>
      <c r="M26" s="15" t="s">
        <v>29</v>
      </c>
    </row>
    <row r="27" spans="1:13" ht="19.5" customHeight="1" x14ac:dyDescent="0.25">
      <c r="B27" s="29"/>
      <c r="F27" s="15"/>
      <c r="G27" s="3"/>
      <c r="H27" s="13"/>
      <c r="I27" s="3"/>
      <c r="J27" s="17"/>
      <c r="K27" s="3"/>
      <c r="L27" s="17"/>
      <c r="M27" s="15"/>
    </row>
    <row r="28" spans="1:13" s="3" customFormat="1" ht="19.5" customHeight="1" x14ac:dyDescent="0.25">
      <c r="A28"/>
      <c r="B28" s="12" t="s">
        <v>53</v>
      </c>
      <c r="C28" s="7"/>
      <c r="F28" s="25" t="s">
        <v>30</v>
      </c>
      <c r="G28" s="26">
        <f>G4+G6+G8+G19+G26</f>
        <v>14</v>
      </c>
      <c r="H28" s="13"/>
      <c r="I28" s="26">
        <f>I4+I6+I8+I19+I26</f>
        <v>12</v>
      </c>
      <c r="J28" s="17">
        <f>I28-G28</f>
        <v>-2</v>
      </c>
      <c r="K28" s="26">
        <f>K4+K6+K8+K19+K26</f>
        <v>0</v>
      </c>
      <c r="L28" s="17">
        <f>K28+J28</f>
        <v>-2</v>
      </c>
    </row>
    <row r="29" spans="1:13" x14ac:dyDescent="0.25">
      <c r="A29" s="3"/>
      <c r="B29" s="44"/>
      <c r="C29" s="45"/>
    </row>
  </sheetData>
  <mergeCells count="1">
    <mergeCell ref="B29:C29"/>
  </mergeCells>
  <dataValidations count="5">
    <dataValidation type="whole" allowBlank="1" showInputMessage="1" showErrorMessage="1" sqref="C27" xr:uid="{6ECD55E6-EA55-4E19-B9D8-BDECC6589DA8}">
      <formula1>0</formula1>
      <formula2>C22</formula2>
    </dataValidation>
    <dataValidation type="whole" allowBlank="1" showInputMessage="1" showErrorMessage="1" sqref="C22" xr:uid="{2710B62F-35B1-48CC-9926-06770C28ECC7}">
      <formula1>0</formula1>
      <formula2>C21</formula2>
    </dataValidation>
    <dataValidation type="list" allowBlank="1" showInputMessage="1" showErrorMessage="1" sqref="C16 C18" xr:uid="{FAA51358-E602-4A70-AA7C-4678C5F5C434}">
      <formula1>"SIM,NÃO"</formula1>
    </dataValidation>
    <dataValidation type="whole" allowBlank="1" showInputMessage="1" showErrorMessage="1" sqref="C28" xr:uid="{B61540F3-960E-47AD-AF3A-55385B00FF30}">
      <formula1>0</formula1>
      <formula2>C22</formula2>
    </dataValidation>
    <dataValidation allowBlank="1" showInputMessage="1" showErrorMessage="1" sqref="C14:C15 C19" xr:uid="{B5FBA5B1-3A19-41B1-83A5-ADEB389B4188}"/>
  </dataValidations>
  <pageMargins left="0.70866141732283472" right="0.70866141732283472" top="1.3385826771653544" bottom="0.74803149606299213" header="0.31496062992125984" footer="0.31496062992125984"/>
  <pageSetup paperSize="9" scale="74" orientation="landscape" verticalDpi="0" r:id="rId1"/>
  <headerFooter>
    <oddHeader>&amp;L&amp;G</oddHeader>
  </headerFooter>
  <ignoredErrors>
    <ignoredError sqref="J28" formula="1"/>
  </ignoredError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CF0A4-7242-4045-B932-08051D1E6018}">
  <sheetPr>
    <tabColor rgb="FF7030A0"/>
  </sheetPr>
  <dimension ref="A2:M29"/>
  <sheetViews>
    <sheetView showGridLines="0" showRowColHeaders="0" zoomScale="80" zoomScaleNormal="80" workbookViewId="0">
      <selection activeCell="C19" sqref="C19"/>
    </sheetView>
  </sheetViews>
  <sheetFormatPr defaultColWidth="8.85546875" defaultRowHeight="15" x14ac:dyDescent="0.25"/>
  <cols>
    <col min="2" max="2" width="134.42578125" customWidth="1"/>
    <col min="3" max="3" width="10.42578125" style="7" bestFit="1" customWidth="1"/>
    <col min="4" max="4" width="8.7109375" customWidth="1"/>
    <col min="5" max="5" width="6.140625" customWidth="1"/>
    <col min="6" max="6" width="26.28515625" bestFit="1" customWidth="1"/>
    <col min="8" max="8" width="10" customWidth="1"/>
  </cols>
  <sheetData>
    <row r="2" spans="2:13" ht="26.25" x14ac:dyDescent="0.25">
      <c r="B2" s="28" t="s">
        <v>31</v>
      </c>
      <c r="F2" s="12" t="s">
        <v>1</v>
      </c>
      <c r="G2" s="10" t="s">
        <v>2</v>
      </c>
      <c r="H2" s="11"/>
      <c r="I2" s="12" t="s">
        <v>3</v>
      </c>
      <c r="J2" s="10"/>
      <c r="K2" s="10" t="s">
        <v>4</v>
      </c>
      <c r="L2" s="10"/>
      <c r="M2" s="12" t="s">
        <v>5</v>
      </c>
    </row>
    <row r="3" spans="2:13" ht="19.5" customHeight="1" x14ac:dyDescent="0.25">
      <c r="F3" s="3"/>
      <c r="G3" s="3"/>
      <c r="H3" s="13"/>
      <c r="I3" s="3"/>
      <c r="J3" s="14"/>
      <c r="K3" s="3"/>
      <c r="L3" s="14"/>
      <c r="M3" s="3"/>
    </row>
    <row r="4" spans="2:13" ht="19.5" customHeight="1" x14ac:dyDescent="0.25">
      <c r="B4" s="12" t="s">
        <v>0</v>
      </c>
      <c r="F4" s="15" t="s">
        <v>6</v>
      </c>
      <c r="G4" s="16">
        <f>1</f>
        <v>1</v>
      </c>
      <c r="H4" s="13"/>
      <c r="I4" s="6">
        <v>2</v>
      </c>
      <c r="J4" s="17">
        <f>I4-G4</f>
        <v>1</v>
      </c>
      <c r="K4" s="6"/>
      <c r="L4" s="17">
        <f>K4+J4</f>
        <v>1</v>
      </c>
      <c r="M4" s="4" t="s">
        <v>7</v>
      </c>
    </row>
    <row r="5" spans="2:13" ht="19.5" customHeight="1" x14ac:dyDescent="0.25">
      <c r="B5" s="30" t="s">
        <v>57</v>
      </c>
      <c r="C5" s="8"/>
      <c r="F5" s="15"/>
      <c r="G5" s="3"/>
      <c r="H5" s="13"/>
      <c r="I5" s="3"/>
      <c r="J5" s="17"/>
      <c r="K5" s="3"/>
      <c r="L5" s="17"/>
      <c r="M5" s="15"/>
    </row>
    <row r="6" spans="2:13" ht="19.5" customHeight="1" x14ac:dyDescent="0.25">
      <c r="B6" s="2"/>
      <c r="F6" s="15" t="s">
        <v>8</v>
      </c>
      <c r="G6" s="16">
        <f>1+IF(D9&gt;300,1,0)+IF(C12&gt;1,1,0)</f>
        <v>2</v>
      </c>
      <c r="H6" s="13"/>
      <c r="I6" s="6">
        <v>3</v>
      </c>
      <c r="J6" s="17">
        <f>I6-G6</f>
        <v>1</v>
      </c>
      <c r="K6" s="6"/>
      <c r="L6" s="17">
        <f>K6+J6</f>
        <v>1</v>
      </c>
      <c r="M6" s="4" t="s">
        <v>9</v>
      </c>
    </row>
    <row r="7" spans="2:13" s="3" customFormat="1" ht="19.5" customHeight="1" x14ac:dyDescent="0.25">
      <c r="B7" s="12" t="s">
        <v>32</v>
      </c>
      <c r="C7" s="8"/>
      <c r="F7" s="15"/>
      <c r="H7" s="13"/>
      <c r="J7" s="17"/>
      <c r="L7" s="17"/>
    </row>
    <row r="8" spans="2:13" s="3" customFormat="1" ht="19.5" customHeight="1" x14ac:dyDescent="0.25">
      <c r="C8" s="8"/>
      <c r="F8" s="15" t="s">
        <v>10</v>
      </c>
      <c r="G8" s="16">
        <f>CEILING(G9+G10+G11+G12+G13+G14+G15+G16+G17,1)</f>
        <v>12</v>
      </c>
      <c r="H8" s="13"/>
      <c r="I8" s="6">
        <v>25</v>
      </c>
      <c r="J8" s="17">
        <f>I8-G8</f>
        <v>13</v>
      </c>
      <c r="K8" s="6"/>
      <c r="L8" s="17">
        <f>K8+J8</f>
        <v>13</v>
      </c>
      <c r="M8" s="4" t="s">
        <v>11</v>
      </c>
    </row>
    <row r="9" spans="2:13" s="3" customFormat="1" ht="19.5" customHeight="1" x14ac:dyDescent="0.25">
      <c r="B9" s="29" t="s">
        <v>33</v>
      </c>
      <c r="C9" s="9">
        <v>232</v>
      </c>
      <c r="D9" s="27">
        <f>(C9-C10)+(C10*2.5)-C19</f>
        <v>187</v>
      </c>
      <c r="F9" s="18" t="s">
        <v>12</v>
      </c>
      <c r="G9" s="19">
        <v>2</v>
      </c>
      <c r="H9" s="20" t="s">
        <v>13</v>
      </c>
      <c r="J9" s="17"/>
      <c r="L9" s="17"/>
      <c r="M9" s="15"/>
    </row>
    <row r="10" spans="2:13" s="4" customFormat="1" ht="19.5" customHeight="1" x14ac:dyDescent="0.25">
      <c r="B10" s="29" t="s">
        <v>34</v>
      </c>
      <c r="C10" s="9">
        <v>4</v>
      </c>
      <c r="F10" s="18" t="s">
        <v>14</v>
      </c>
      <c r="G10" s="19">
        <f>(D9-30)/44</f>
        <v>3.5681818181818183</v>
      </c>
      <c r="H10" s="20"/>
      <c r="I10" s="3"/>
      <c r="J10" s="17"/>
      <c r="K10" s="3"/>
      <c r="L10" s="17"/>
      <c r="M10" s="15"/>
    </row>
    <row r="11" spans="2:13" s="4" customFormat="1" ht="19.5" customHeight="1" x14ac:dyDescent="0.25">
      <c r="B11" s="29" t="s">
        <v>35</v>
      </c>
      <c r="C11" s="31">
        <v>17</v>
      </c>
      <c r="F11" s="21" t="s">
        <v>15</v>
      </c>
      <c r="G11" s="19">
        <f>IF(C12&gt;1,(C14+C15)*0.25,0)</f>
        <v>0.25</v>
      </c>
      <c r="H11" s="22"/>
      <c r="I11" s="23"/>
      <c r="J11" s="17"/>
      <c r="K11" s="3"/>
      <c r="L11" s="17"/>
      <c r="M11" s="15"/>
    </row>
    <row r="12" spans="2:13" s="3" customFormat="1" ht="19.5" customHeight="1" x14ac:dyDescent="0.25">
      <c r="B12" s="29" t="s">
        <v>36</v>
      </c>
      <c r="C12" s="9">
        <v>5</v>
      </c>
      <c r="D12" s="4"/>
      <c r="F12" s="18" t="s">
        <v>16</v>
      </c>
      <c r="G12" s="19">
        <f>IF(OR(C14="",C14=0),0,IF(C14=1,2,C14-1+2))</f>
        <v>0</v>
      </c>
      <c r="H12" s="13"/>
      <c r="J12" s="17"/>
      <c r="L12" s="17"/>
      <c r="M12" s="15"/>
    </row>
    <row r="13" spans="2:13" s="3" customFormat="1" ht="19.5" customHeight="1" x14ac:dyDescent="0.25">
      <c r="B13" s="29" t="s">
        <v>37</v>
      </c>
      <c r="C13" s="9">
        <v>232</v>
      </c>
      <c r="D13" s="4"/>
      <c r="F13" s="18" t="s">
        <v>17</v>
      </c>
      <c r="G13" s="19">
        <f>IF(OR(C15="",C15=0),0,IF(C15=1,2,C15-1+2))</f>
        <v>2</v>
      </c>
      <c r="H13" s="13"/>
      <c r="J13" s="17"/>
      <c r="L13" s="17"/>
      <c r="M13" s="15"/>
    </row>
    <row r="14" spans="2:13" s="3" customFormat="1" ht="19.5" customHeight="1" x14ac:dyDescent="0.25">
      <c r="B14" s="29" t="s">
        <v>38</v>
      </c>
      <c r="C14" s="9">
        <v>0</v>
      </c>
      <c r="D14" s="4"/>
      <c r="E14" s="5"/>
      <c r="F14" s="18" t="s">
        <v>18</v>
      </c>
      <c r="G14" s="19">
        <f>C23/2</f>
        <v>1</v>
      </c>
      <c r="H14" s="22" t="s">
        <v>13</v>
      </c>
      <c r="I14"/>
      <c r="J14" s="17"/>
      <c r="L14" s="17"/>
      <c r="M14" s="15"/>
    </row>
    <row r="15" spans="2:13" s="3" customFormat="1" ht="19.5" customHeight="1" x14ac:dyDescent="0.25">
      <c r="B15" s="29" t="s">
        <v>39</v>
      </c>
      <c r="C15" s="9">
        <v>1</v>
      </c>
      <c r="D15" s="4"/>
      <c r="E15" s="5"/>
      <c r="F15" s="18" t="s">
        <v>19</v>
      </c>
      <c r="G15" s="19">
        <f>C25/3</f>
        <v>3</v>
      </c>
      <c r="H15" s="22" t="s">
        <v>13</v>
      </c>
      <c r="I15"/>
      <c r="J15" s="17"/>
      <c r="L15" s="17"/>
      <c r="M15" s="15"/>
    </row>
    <row r="16" spans="2:13" s="4" customFormat="1" ht="19.5" customHeight="1" x14ac:dyDescent="0.25">
      <c r="B16" s="29" t="s">
        <v>40</v>
      </c>
      <c r="C16" s="9" t="s">
        <v>41</v>
      </c>
      <c r="F16" s="18" t="s">
        <v>20</v>
      </c>
      <c r="G16" s="19">
        <f>IF(C16="SIM",1,0)</f>
        <v>0</v>
      </c>
      <c r="H16" s="13"/>
      <c r="I16" s="3"/>
      <c r="J16" s="17"/>
      <c r="K16" s="3"/>
      <c r="L16" s="17"/>
      <c r="M16" s="15"/>
    </row>
    <row r="17" spans="1:13" s="4" customFormat="1" ht="19.5" customHeight="1" x14ac:dyDescent="0.25">
      <c r="B17" s="32" t="s">
        <v>42</v>
      </c>
      <c r="C17" s="9">
        <v>103</v>
      </c>
      <c r="D17" s="8"/>
      <c r="F17" s="18" t="s">
        <v>21</v>
      </c>
      <c r="G17" s="19">
        <f>IF(C17="",0,IF(AND(C17/D9&gt;=0.6,C17/D9&lt;0.75),1,IF(C17/D9&gt;=0.75,2,0)))</f>
        <v>0</v>
      </c>
      <c r="H17" s="22" t="s">
        <v>13</v>
      </c>
      <c r="I17" s="3"/>
      <c r="J17" s="17"/>
      <c r="K17" s="3"/>
      <c r="L17" s="17"/>
      <c r="M17" s="15"/>
    </row>
    <row r="18" spans="1:13" s="4" customFormat="1" ht="19.5" customHeight="1" x14ac:dyDescent="0.25">
      <c r="B18" s="15" t="s">
        <v>43</v>
      </c>
      <c r="C18" s="9" t="s">
        <v>44</v>
      </c>
      <c r="D18" s="8"/>
      <c r="F18" s="5"/>
      <c r="G18" s="3"/>
      <c r="H18" s="13"/>
      <c r="I18" s="3"/>
      <c r="J18" s="17"/>
      <c r="K18" s="3"/>
      <c r="L18" s="17"/>
      <c r="M18" s="15"/>
    </row>
    <row r="19" spans="1:13" s="3" customFormat="1" ht="19.5" customHeight="1" x14ac:dyDescent="0.25">
      <c r="A19" s="4"/>
      <c r="B19" s="29" t="s">
        <v>45</v>
      </c>
      <c r="C19" s="9">
        <v>51</v>
      </c>
      <c r="D19" s="4"/>
      <c r="F19" s="15" t="s">
        <v>22</v>
      </c>
      <c r="G19" s="16">
        <f>CEILING(G20+G21+G22+G23+G24,1)</f>
        <v>16</v>
      </c>
      <c r="H19" s="13"/>
      <c r="I19" s="6">
        <v>12</v>
      </c>
      <c r="J19" s="17">
        <f>I19-G19</f>
        <v>-4</v>
      </c>
      <c r="K19" s="6"/>
      <c r="L19" s="17">
        <f>K19+J19</f>
        <v>-4</v>
      </c>
      <c r="M19" s="15" t="s">
        <v>23</v>
      </c>
    </row>
    <row r="20" spans="1:13" s="3" customFormat="1" ht="19.5" customHeight="1" x14ac:dyDescent="0.25">
      <c r="B20" s="29" t="s">
        <v>46</v>
      </c>
      <c r="C20" s="9">
        <v>4</v>
      </c>
      <c r="D20" s="4"/>
      <c r="F20" s="18" t="s">
        <v>24</v>
      </c>
      <c r="G20" s="19">
        <f>2*C20</f>
        <v>8</v>
      </c>
      <c r="H20" s="22" t="s">
        <v>13</v>
      </c>
      <c r="I20"/>
      <c r="J20" s="17"/>
      <c r="L20" s="17"/>
      <c r="M20" s="15"/>
    </row>
    <row r="21" spans="1:13" s="3" customFormat="1" ht="19.5" customHeight="1" x14ac:dyDescent="0.25">
      <c r="B21" s="29" t="s">
        <v>47</v>
      </c>
      <c r="C21" s="9">
        <v>5</v>
      </c>
      <c r="D21" s="4"/>
      <c r="F21" s="18" t="s">
        <v>25</v>
      </c>
      <c r="G21" s="19">
        <f>1*C21</f>
        <v>5</v>
      </c>
      <c r="H21" s="22"/>
      <c r="I21"/>
      <c r="J21" s="17"/>
      <c r="L21" s="17"/>
      <c r="M21" s="15"/>
    </row>
    <row r="22" spans="1:13" s="3" customFormat="1" ht="19.5" customHeight="1" x14ac:dyDescent="0.25">
      <c r="B22" s="29" t="s">
        <v>48</v>
      </c>
      <c r="C22" s="9">
        <v>1</v>
      </c>
      <c r="D22" s="4"/>
      <c r="F22" s="18" t="s">
        <v>26</v>
      </c>
      <c r="G22" s="19">
        <f>1*EB1PECSVicente!C22</f>
        <v>1</v>
      </c>
      <c r="H22" s="22" t="s">
        <v>13</v>
      </c>
      <c r="I22"/>
      <c r="J22" s="17"/>
      <c r="L22" s="17"/>
      <c r="M22" s="15"/>
    </row>
    <row r="23" spans="1:13" s="3" customFormat="1" ht="19.5" customHeight="1" x14ac:dyDescent="0.25">
      <c r="B23" s="29" t="s">
        <v>49</v>
      </c>
      <c r="C23" s="9">
        <v>2</v>
      </c>
      <c r="D23" s="4"/>
      <c r="F23" s="18" t="s">
        <v>18</v>
      </c>
      <c r="G23" s="19">
        <f>C24/2</f>
        <v>0.5</v>
      </c>
      <c r="H23" s="22" t="s">
        <v>13</v>
      </c>
      <c r="I23"/>
      <c r="J23" s="17"/>
      <c r="L23" s="17"/>
      <c r="M23" s="15"/>
    </row>
    <row r="24" spans="1:13" s="3" customFormat="1" ht="19.5" customHeight="1" x14ac:dyDescent="0.25">
      <c r="B24" s="29" t="s">
        <v>50</v>
      </c>
      <c r="C24" s="9">
        <v>1</v>
      </c>
      <c r="D24" s="4"/>
      <c r="F24" s="18" t="s">
        <v>27</v>
      </c>
      <c r="G24" s="19">
        <f>C26/2</f>
        <v>1</v>
      </c>
      <c r="H24" s="22" t="s">
        <v>13</v>
      </c>
      <c r="I24"/>
      <c r="J24" s="17"/>
      <c r="L24" s="17"/>
      <c r="M24" s="15"/>
    </row>
    <row r="25" spans="1:13" s="3" customFormat="1" ht="19.5" customHeight="1" x14ac:dyDescent="0.25">
      <c r="B25" s="29" t="s">
        <v>51</v>
      </c>
      <c r="C25" s="9">
        <v>9</v>
      </c>
      <c r="D25" s="4"/>
      <c r="F25" s="24"/>
      <c r="G25" s="19"/>
      <c r="H25" s="13"/>
      <c r="J25" s="17"/>
      <c r="L25" s="17"/>
      <c r="M25" s="15"/>
    </row>
    <row r="26" spans="1:13" ht="19.5" customHeight="1" x14ac:dyDescent="0.25">
      <c r="A26" s="3"/>
      <c r="B26" s="29" t="s">
        <v>52</v>
      </c>
      <c r="C26" s="9">
        <v>2</v>
      </c>
      <c r="D26" s="1"/>
      <c r="F26" s="15" t="s">
        <v>28</v>
      </c>
      <c r="G26" s="16">
        <f>1+(IF(EB1PECSVicente!H4&gt;250,1,0))</f>
        <v>1</v>
      </c>
      <c r="H26" s="22" t="s">
        <v>13</v>
      </c>
      <c r="I26" s="6"/>
      <c r="J26" s="17">
        <f>I26-G26</f>
        <v>-1</v>
      </c>
      <c r="K26" s="6"/>
      <c r="L26" s="17">
        <f>K26+J26</f>
        <v>-1</v>
      </c>
      <c r="M26" s="15" t="s">
        <v>29</v>
      </c>
    </row>
    <row r="27" spans="1:13" ht="19.5" customHeight="1" x14ac:dyDescent="0.25">
      <c r="B27" s="29"/>
      <c r="F27" s="15"/>
      <c r="G27" s="3"/>
      <c r="H27" s="13"/>
      <c r="I27" s="3"/>
      <c r="J27" s="17"/>
      <c r="K27" s="3"/>
      <c r="L27" s="17"/>
      <c r="M27" s="15"/>
    </row>
    <row r="28" spans="1:13" s="3" customFormat="1" ht="19.5" customHeight="1" x14ac:dyDescent="0.25">
      <c r="A28"/>
      <c r="B28" s="12" t="s">
        <v>53</v>
      </c>
      <c r="C28" s="7"/>
      <c r="F28" s="25" t="s">
        <v>30</v>
      </c>
      <c r="G28" s="26">
        <f>G4+G6+G8+G19+G26</f>
        <v>32</v>
      </c>
      <c r="H28" s="13"/>
      <c r="I28" s="26">
        <f>I4+I6+I8+I19+I26</f>
        <v>42</v>
      </c>
      <c r="J28" s="17">
        <f>I28-G28</f>
        <v>10</v>
      </c>
      <c r="K28" s="26">
        <f>K4+K6+K8+K19+K26</f>
        <v>0</v>
      </c>
      <c r="L28" s="17">
        <f>K28+J28</f>
        <v>10</v>
      </c>
    </row>
    <row r="29" spans="1:13" x14ac:dyDescent="0.25">
      <c r="A29" s="3"/>
      <c r="B29" s="44"/>
      <c r="C29" s="45"/>
    </row>
  </sheetData>
  <mergeCells count="1">
    <mergeCell ref="B29:C29"/>
  </mergeCells>
  <dataValidations count="5">
    <dataValidation allowBlank="1" showInputMessage="1" showErrorMessage="1" sqref="C14:C15 C19" xr:uid="{489D60BB-009D-4A29-A9C1-AF44BEB5B372}"/>
    <dataValidation type="whole" allowBlank="1" showInputMessage="1" showErrorMessage="1" sqref="C28" xr:uid="{32A5F0E3-F9F2-4964-9BCB-714801BB02E3}">
      <formula1>0</formula1>
      <formula2>C22</formula2>
    </dataValidation>
    <dataValidation type="list" allowBlank="1" showInputMessage="1" showErrorMessage="1" sqref="C16 C18" xr:uid="{A454ABA6-B18D-4D15-812D-74E48D161534}">
      <formula1>"SIM,NÃO"</formula1>
    </dataValidation>
    <dataValidation type="whole" allowBlank="1" showInputMessage="1" showErrorMessage="1" sqref="C22" xr:uid="{D26B4953-D20B-4711-A331-5E62D3BDDE2D}">
      <formula1>0</formula1>
      <formula2>C21</formula2>
    </dataValidation>
    <dataValidation type="whole" allowBlank="1" showInputMessage="1" showErrorMessage="1" sqref="C27" xr:uid="{C921D487-F52D-49D0-A91E-ED09140FDE24}">
      <formula1>0</formula1>
      <formula2>C22</formula2>
    </dataValidation>
  </dataValidations>
  <pageMargins left="0.70866141732283472" right="0.70866141732283472" top="1.3385826771653544" bottom="0.74803149606299213" header="0.31496062992125984" footer="0.31496062992125984"/>
  <pageSetup paperSize="9" scale="74" orientation="landscape" verticalDpi="0" r:id="rId1"/>
  <headerFooter>
    <oddHeader>&amp;L&amp;G</oddHeader>
  </headerFooter>
  <ignoredErrors>
    <ignoredError sqref="J28" formula="1"/>
  </ignoredError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cd23b6-9943-4893-b07a-e0326b155321">
      <Terms xmlns="http://schemas.microsoft.com/office/infopath/2007/PartnerControls"/>
    </lcf76f155ced4ddcb4097134ff3c332f>
    <TaxCatchAll xmlns="0afa2bc3-41e0-4dda-b3a7-c9172cf1b03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3B9BE0183037489CE537A24B836211" ma:contentTypeVersion="17" ma:contentTypeDescription="Criar um novo documento." ma:contentTypeScope="" ma:versionID="0f25414bb4b89266e45cdefd95401ab9">
  <xsd:schema xmlns:xsd="http://www.w3.org/2001/XMLSchema" xmlns:xs="http://www.w3.org/2001/XMLSchema" xmlns:p="http://schemas.microsoft.com/office/2006/metadata/properties" xmlns:ns2="0afa2bc3-41e0-4dda-b3a7-c9172cf1b03b" xmlns:ns3="b9cd23b6-9943-4893-b07a-e0326b155321" targetNamespace="http://schemas.microsoft.com/office/2006/metadata/properties" ma:root="true" ma:fieldsID="56a03dea9fc4ede4ad9d727af096eaa6" ns2:_="" ns3:_="">
    <xsd:import namespace="0afa2bc3-41e0-4dda-b3a7-c9172cf1b03b"/>
    <xsd:import namespace="b9cd23b6-9943-4893-b07a-e0326b15532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a2bc3-41e0-4dda-b3a7-c9172cf1b03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e67187b-9c9f-41bf-94c4-f5d598897af6}" ma:internalName="TaxCatchAll" ma:showField="CatchAllData" ma:web="0afa2bc3-41e0-4dda-b3a7-c9172cf1b0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cd23b6-9943-4893-b07a-e0326b1553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m" ma:readOnly="false" ma:fieldId="{5cf76f15-5ced-4ddc-b409-7134ff3c332f}" ma:taxonomyMulti="true" ma:sspId="3d9b31ac-465d-4bdd-9bfe-9082c5a151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49976E-66FA-4E4D-A6AC-3E7DC8CC9D62}">
  <ds:schemaRefs>
    <ds:schemaRef ds:uri="http://schemas.microsoft.com/office/2006/metadata/properties"/>
    <ds:schemaRef ds:uri="http://schemas.microsoft.com/office/infopath/2007/PartnerControls"/>
    <ds:schemaRef ds:uri="b9cd23b6-9943-4893-b07a-e0326b155321"/>
    <ds:schemaRef ds:uri="0afa2bc3-41e0-4dda-b3a7-c9172cf1b03b"/>
  </ds:schemaRefs>
</ds:datastoreItem>
</file>

<file path=customXml/itemProps2.xml><?xml version="1.0" encoding="utf-8"?>
<ds:datastoreItem xmlns:ds="http://schemas.openxmlformats.org/officeDocument/2006/customXml" ds:itemID="{C1EDFA20-434C-438C-880E-802FAE9639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CC5E28-3B4F-493E-B075-850977A9FC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fa2bc3-41e0-4dda-b3a7-c9172cf1b03b"/>
    <ds:schemaRef ds:uri="b9cd23b6-9943-4893-b07a-e0326b1553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</vt:i4>
      </vt:variant>
      <vt:variant>
        <vt:lpstr>Intervalos com Nome</vt:lpstr>
      </vt:variant>
      <vt:variant>
        <vt:i4>5</vt:i4>
      </vt:variant>
    </vt:vector>
  </HeadingPairs>
  <TitlesOfParts>
    <vt:vector size="10" baseType="lpstr">
      <vt:lpstr>Folha de cálculo de rácios</vt:lpstr>
      <vt:lpstr>EB1PECSantana</vt:lpstr>
      <vt:lpstr>EB1PECFaialSRoque</vt:lpstr>
      <vt:lpstr>EB1PECSJorge</vt:lpstr>
      <vt:lpstr>EB1PECSVicente</vt:lpstr>
      <vt:lpstr>EB1PECFaialSRoque!Área_de_Impressão</vt:lpstr>
      <vt:lpstr>EB1PECSantana!Área_de_Impressão</vt:lpstr>
      <vt:lpstr>EB1PECSJorge!Área_de_Impressão</vt:lpstr>
      <vt:lpstr>EB1PECSVicente!Área_de_Impressão</vt:lpstr>
      <vt:lpstr>'Folha de cálculo de rácios'!Área_de_Impressão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Miguel Vasconcelos Ponte</dc:creator>
  <cp:keywords/>
  <dc:description/>
  <cp:lastModifiedBy>Maria Marlene Gomes Rodrigues</cp:lastModifiedBy>
  <cp:revision/>
  <dcterms:created xsi:type="dcterms:W3CDTF">2018-07-12T15:36:14Z</dcterms:created>
  <dcterms:modified xsi:type="dcterms:W3CDTF">2026-10-08T11:35:41Z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0x010100DC3B9BE0183037489CE537A24B836211</vt:lpwstr>
  </property>
  <property fmtid="{D5CDD505-2E9C-101B-9397-08002B2CF9AE}" pid="3" name="MediaServiceImageTags">
    <vt:lpwstr/>
  </property>
</Properties>
</file>